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0" yWindow="1780" windowWidth="18200" windowHeight="19660" activeTab="0"/>
  </bookViews>
  <sheets>
    <sheet name="Itemized Listing" sheetId="1" r:id="rId1"/>
  </sheets>
  <definedNames>
    <definedName name="_xlnm.Print_Area" localSheetId="0">'Itemized Listing'!$B$1:$J$90</definedName>
  </definedNames>
  <calcPr fullCalcOnLoad="1"/>
</workbook>
</file>

<file path=xl/sharedStrings.xml><?xml version="1.0" encoding="utf-8"?>
<sst xmlns="http://schemas.openxmlformats.org/spreadsheetml/2006/main" count="153" uniqueCount="68">
  <si>
    <t>Qty</t>
  </si>
  <si>
    <t>Description</t>
  </si>
  <si>
    <t>Price</t>
  </si>
  <si>
    <t>Ext</t>
  </si>
  <si>
    <t>Total Cost</t>
  </si>
  <si>
    <t># Bows</t>
  </si>
  <si>
    <t>Unit</t>
  </si>
  <si>
    <t>each</t>
  </si>
  <si>
    <t>Part#</t>
  </si>
  <si>
    <t>Johnny's Selected Seeds</t>
  </si>
  <si>
    <t>Quick Hoops High Tunnel Bender</t>
  </si>
  <si>
    <t>*</t>
  </si>
  <si>
    <t>Square Feet</t>
  </si>
  <si>
    <t>Cost / Sq. Ft.</t>
  </si>
  <si>
    <t>* Estimations. Prices will vary and do not include shipping costs or tax.</t>
  </si>
  <si>
    <t>Dimensions, Spec's</t>
  </si>
  <si>
    <t>Length</t>
  </si>
  <si>
    <t>Home Depot</t>
  </si>
  <si>
    <t>We have no affiliation with these companies, other than purchasing these supplies from them and finding their prices competitive.</t>
  </si>
  <si>
    <t>Vendor</t>
  </si>
  <si>
    <t xml:space="preserve">Click on part# to link to product's web page. Vendors and part#'s for pipe and other accessories are provided for your convenience only. </t>
  </si>
  <si>
    <t>x</t>
  </si>
  <si>
    <t xml:space="preserve"> </t>
  </si>
  <si>
    <t xml:space="preserve"> Handcrank auto-stop roll-up sides</t>
  </si>
  <si>
    <t>Bows</t>
  </si>
  <si>
    <t>Knee Rails</t>
  </si>
  <si>
    <t>Sides</t>
  </si>
  <si>
    <t xml:space="preserve"> Low cost manual roll-up sides</t>
  </si>
  <si>
    <t xml:space="preserve"> No roll-up sides at all (shorter tunnels only)</t>
  </si>
  <si>
    <r>
      <t xml:space="preserve">***Fill in the items in </t>
    </r>
    <r>
      <rPr>
        <b/>
        <sz val="11"/>
        <color indexed="10"/>
        <rFont val="Calibri"/>
        <family val="2"/>
      </rPr>
      <t>red</t>
    </r>
    <r>
      <rPr>
        <b/>
        <sz val="11"/>
        <color indexed="8"/>
        <rFont val="Calibri"/>
        <family val="2"/>
      </rPr>
      <t xml:space="preserve"> below and the calculator will do the rest.***</t>
    </r>
  </si>
  <si>
    <t>feet</t>
  </si>
  <si>
    <r>
      <t xml:space="preserve">Enter </t>
    </r>
    <r>
      <rPr>
        <b/>
        <sz val="12"/>
        <color indexed="10"/>
        <rFont val="Calibri"/>
        <family val="2"/>
      </rPr>
      <t xml:space="preserve">length </t>
    </r>
    <r>
      <rPr>
        <b/>
        <sz val="12"/>
        <rFont val="Calibri"/>
        <family val="0"/>
      </rPr>
      <t>here.</t>
    </r>
    <r>
      <rPr>
        <sz val="12"/>
        <rFont val="Calibri"/>
        <family val="0"/>
      </rPr>
      <t xml:space="preserve"> </t>
    </r>
    <r>
      <rPr>
        <u val="single"/>
        <sz val="12"/>
        <rFont val="Calibri"/>
        <family val="2"/>
      </rPr>
      <t>Must be divisible by spacing</t>
    </r>
    <r>
      <rPr>
        <sz val="12"/>
        <rFont val="Calibri"/>
        <family val="0"/>
      </rPr>
      <t xml:space="preserve">. </t>
    </r>
  </si>
  <si>
    <t>Spacing</t>
  </si>
  <si>
    <r>
      <t xml:space="preserve">Enter </t>
    </r>
    <r>
      <rPr>
        <b/>
        <sz val="12"/>
        <color indexed="10"/>
        <rFont val="Calibri"/>
        <family val="2"/>
      </rPr>
      <t xml:space="preserve">spacing </t>
    </r>
    <r>
      <rPr>
        <b/>
        <sz val="12"/>
        <rFont val="Calibri"/>
        <family val="0"/>
      </rPr>
      <t>here.</t>
    </r>
    <r>
      <rPr>
        <sz val="12"/>
        <rFont val="Calibri"/>
        <family val="0"/>
      </rPr>
      <t xml:space="preserve">  </t>
    </r>
  </si>
  <si>
    <t>Grnd Posts</t>
  </si>
  <si>
    <r>
      <t xml:space="preserve">Enter </t>
    </r>
    <r>
      <rPr>
        <b/>
        <sz val="12"/>
        <color indexed="10"/>
        <rFont val="Calibri"/>
        <family val="2"/>
      </rPr>
      <t>3</t>
    </r>
    <r>
      <rPr>
        <b/>
        <sz val="12"/>
        <rFont val="Calibri"/>
        <family val="0"/>
      </rPr>
      <t xml:space="preserve"> or </t>
    </r>
    <r>
      <rPr>
        <b/>
        <sz val="12"/>
        <color indexed="10"/>
        <rFont val="Calibri"/>
        <family val="2"/>
      </rPr>
      <t>4</t>
    </r>
    <r>
      <rPr>
        <b/>
        <sz val="12"/>
        <rFont val="Calibri"/>
        <family val="0"/>
      </rPr>
      <t xml:space="preserve"> here.</t>
    </r>
    <r>
      <rPr>
        <sz val="12"/>
        <rFont val="Calibri"/>
        <family val="0"/>
      </rPr>
      <t xml:space="preserve"> 3 ft ground posts = 7 ft high tunnel; 4 ft ground posts = 8.5 ft high tunnel. </t>
    </r>
  </si>
  <si>
    <t># Segments</t>
  </si>
  <si>
    <t>Cross Connector for 1.315" x 1.315" Pipe, pkg of 2</t>
  </si>
  <si>
    <t>www.boltdepot.com</t>
  </si>
  <si>
    <t>5/16"-18 hex nut</t>
  </si>
  <si>
    <t>5/16" lock washers</t>
  </si>
  <si>
    <t>10 ft length of 1-3/8" top rail for bows</t>
  </si>
  <si>
    <t>10 ft length of 1-3/8" top rail for ridge pole</t>
  </si>
  <si>
    <t xml:space="preserve"> No end walls</t>
  </si>
  <si>
    <t xml:space="preserve"> Low cost scissor doors</t>
  </si>
  <si>
    <t>Special Tools</t>
  </si>
  <si>
    <t>Frame Components</t>
  </si>
  <si>
    <t>Ground Post Driver</t>
  </si>
  <si>
    <t>Roll-up Sides</t>
  </si>
  <si>
    <t>Covering</t>
  </si>
  <si>
    <t>Cable Purlins for Trellising</t>
  </si>
  <si>
    <t xml:space="preserve"> No Purlins</t>
  </si>
  <si>
    <t xml:space="preserve"> # Cable Purlins for Trellising</t>
  </si>
  <si>
    <t>Scissor Doors</t>
  </si>
  <si>
    <t xml:space="preserve"> End walls with doors (per our instructions)</t>
  </si>
  <si>
    <t>End Walls with Doors</t>
  </si>
  <si>
    <t>Subtotal:</t>
  </si>
  <si>
    <t>1/4 in. x 4 in. carriage bolt</t>
  </si>
  <si>
    <t>#8 x 3/4" phillips-head self-tapping screws, box of 100</t>
  </si>
  <si>
    <t>5/16" flat washers</t>
  </si>
  <si>
    <t xml:space="preserve">1 in. x 8 in. x 16 ft. ledger board </t>
  </si>
  <si>
    <t>#7 x 1.25 in. wood screw, box of 100</t>
  </si>
  <si>
    <t>#10 x 3/4 in. hex-head self-tapping screws, box of 100</t>
  </si>
  <si>
    <t>1/4 in. hex nut</t>
  </si>
  <si>
    <t>5/16"-18 x 7" J-bolt for lacing connection</t>
  </si>
  <si>
    <t>Quick Hoops Stationary Traditional 12-ft-Wide High Tunnel Calculator</t>
  </si>
  <si>
    <t>4 ft. length of Poly Latch ("Wiggle") Wire</t>
  </si>
  <si>
    <t>8 ft. length of Poly Latch ("Wiggle") Channel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</si>
</sst>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0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0"/>
    </font>
    <font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164" fontId="49" fillId="0" borderId="0" xfId="0" applyNumberFormat="1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  <xf numFmtId="0" fontId="49" fillId="0" borderId="0" xfId="0" applyFont="1" applyBorder="1" applyAlignment="1">
      <alignment horizontal="center" vertical="center"/>
    </xf>
    <xf numFmtId="1" fontId="49" fillId="0" borderId="0" xfId="0" applyNumberFormat="1" applyFont="1" applyAlignment="1">
      <alignment horizontal="center" vertical="center"/>
    </xf>
    <xf numFmtId="164" fontId="51" fillId="0" borderId="0" xfId="0" applyNumberFormat="1" applyFont="1" applyAlignment="1">
      <alignment horizontal="right" vertical="center" indent="1"/>
    </xf>
    <xf numFmtId="165" fontId="51" fillId="0" borderId="10" xfId="0" applyNumberFormat="1" applyFont="1" applyBorder="1" applyAlignment="1">
      <alignment horizontal="right" vertical="center" indent="1"/>
    </xf>
    <xf numFmtId="1" fontId="0" fillId="0" borderId="0" xfId="0" applyNumberFormat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3" fillId="0" borderId="0" xfId="0" applyFont="1" applyBorder="1" applyAlignment="1">
      <alignment horizontal="left" vertical="center" indent="34"/>
    </xf>
    <xf numFmtId="1" fontId="36" fillId="33" borderId="10" xfId="0" applyNumberFormat="1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164" fontId="36" fillId="33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 indent="5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left" vertical="center"/>
    </xf>
    <xf numFmtId="164" fontId="52" fillId="0" borderId="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52" fillId="0" borderId="0" xfId="0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164" fontId="0" fillId="0" borderId="10" xfId="0" applyNumberFormat="1" applyFont="1" applyBorder="1" applyAlignment="1">
      <alignment horizontal="right" vertical="center" indent="1"/>
    </xf>
    <xf numFmtId="164" fontId="0" fillId="34" borderId="10" xfId="0" applyNumberFormat="1" applyFont="1" applyFill="1" applyBorder="1" applyAlignment="1">
      <alignment horizontal="right" vertical="center" indent="1"/>
    </xf>
    <xf numFmtId="1" fontId="0" fillId="0" borderId="10" xfId="0" applyNumberFormat="1" applyBorder="1" applyAlignment="1">
      <alignment horizontal="center" vertical="center"/>
    </xf>
    <xf numFmtId="13" fontId="49" fillId="0" borderId="0" xfId="0" applyNumberFormat="1" applyFont="1" applyAlignment="1">
      <alignment horizontal="center" vertical="center"/>
    </xf>
    <xf numFmtId="164" fontId="52" fillId="0" borderId="11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1" fontId="52" fillId="0" borderId="0" xfId="0" applyNumberFormat="1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1" fontId="54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1" fontId="53" fillId="0" borderId="0" xfId="0" applyNumberFormat="1" applyFont="1" applyBorder="1" applyAlignment="1">
      <alignment horizontal="right" vertical="center" indent="2"/>
    </xf>
    <xf numFmtId="0" fontId="49" fillId="0" borderId="0" xfId="0" applyFont="1" applyAlignment="1">
      <alignment horizontal="right" vertical="center"/>
    </xf>
    <xf numFmtId="0" fontId="0" fillId="0" borderId="10" xfId="0" applyBorder="1" applyAlignment="1">
      <alignment horizontal="left" vertical="center" indent="1"/>
    </xf>
    <xf numFmtId="164" fontId="0" fillId="0" borderId="10" xfId="0" applyNumberFormat="1" applyBorder="1" applyAlignment="1">
      <alignment horizontal="right" vertical="center" indent="1"/>
    </xf>
    <xf numFmtId="1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indent="1"/>
    </xf>
    <xf numFmtId="1" fontId="0" fillId="34" borderId="10" xfId="0" applyNumberFormat="1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left" vertical="center" indent="1"/>
    </xf>
    <xf numFmtId="0" fontId="0" fillId="34" borderId="10" xfId="0" applyFont="1" applyFill="1" applyBorder="1" applyAlignment="1">
      <alignment horizontal="left" vertical="center" indent="1"/>
    </xf>
    <xf numFmtId="0" fontId="0" fillId="34" borderId="10" xfId="0" applyFill="1" applyBorder="1" applyAlignment="1">
      <alignment horizontal="left" vertical="center" inden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 indent="1"/>
    </xf>
    <xf numFmtId="0" fontId="49" fillId="34" borderId="0" xfId="0" applyFont="1" applyFill="1" applyAlignment="1">
      <alignment vertical="center"/>
    </xf>
    <xf numFmtId="0" fontId="49" fillId="34" borderId="0" xfId="0" applyFont="1" applyFill="1" applyAlignment="1">
      <alignment horizontal="center" vertical="center"/>
    </xf>
    <xf numFmtId="0" fontId="36" fillId="34" borderId="0" xfId="0" applyFont="1" applyFill="1" applyAlignment="1">
      <alignment horizontal="center" vertical="center"/>
    </xf>
    <xf numFmtId="164" fontId="0" fillId="34" borderId="0" xfId="0" applyNumberFormat="1" applyFill="1" applyAlignment="1">
      <alignment horizontal="center" vertical="center"/>
    </xf>
    <xf numFmtId="0" fontId="27" fillId="34" borderId="10" xfId="0" applyNumberFormat="1" applyFont="1" applyFill="1" applyBorder="1" applyAlignment="1">
      <alignment horizontal="left" vertical="center" indent="1"/>
    </xf>
    <xf numFmtId="164" fontId="0" fillId="34" borderId="10" xfId="0" applyNumberFormat="1" applyFill="1" applyBorder="1" applyAlignment="1">
      <alignment horizontal="right" vertical="center" indent="1"/>
    </xf>
    <xf numFmtId="1" fontId="0" fillId="34" borderId="10" xfId="0" applyNumberForma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164" fontId="28" fillId="10" borderId="10" xfId="0" applyNumberFormat="1" applyFont="1" applyFill="1" applyBorder="1" applyAlignment="1">
      <alignment horizontal="right" vertical="center" inden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horizontal="left" indent="1"/>
    </xf>
    <xf numFmtId="0" fontId="27" fillId="0" borderId="10" xfId="0" applyFont="1" applyBorder="1" applyAlignment="1">
      <alignment horizontal="left" vertical="center" wrapText="1" indent="1"/>
    </xf>
    <xf numFmtId="0" fontId="27" fillId="0" borderId="10" xfId="0" applyNumberFormat="1" applyFont="1" applyBorder="1" applyAlignment="1">
      <alignment horizontal="left" vertical="center" indent="1"/>
    </xf>
    <xf numFmtId="1" fontId="51" fillId="0" borderId="0" xfId="0" applyNumberFormat="1" applyFont="1" applyBorder="1" applyAlignment="1">
      <alignment horizontal="right" vertical="center" indent="2"/>
    </xf>
    <xf numFmtId="164" fontId="51" fillId="0" borderId="0" xfId="44" applyNumberFormat="1" applyFont="1" applyBorder="1" applyAlignment="1">
      <alignment horizontal="right" vertical="center" indent="2"/>
    </xf>
    <xf numFmtId="1" fontId="56" fillId="0" borderId="0" xfId="0" applyNumberFormat="1" applyFont="1" applyAlignment="1">
      <alignment horizontal="center" vertical="center"/>
    </xf>
    <xf numFmtId="1" fontId="52" fillId="0" borderId="0" xfId="0" applyNumberFormat="1" applyFont="1" applyBorder="1" applyAlignment="1">
      <alignment horizontal="left" vertical="center"/>
    </xf>
    <xf numFmtId="1" fontId="52" fillId="0" borderId="12" xfId="0" applyNumberFormat="1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52" fillId="0" borderId="12" xfId="0" applyFont="1" applyBorder="1" applyAlignment="1">
      <alignment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1" fontId="43" fillId="0" borderId="13" xfId="53" applyNumberFormat="1" applyBorder="1" applyAlignment="1" applyProtection="1">
      <alignment horizontal="center" vertical="center"/>
      <protection/>
    </xf>
    <xf numFmtId="1" fontId="43" fillId="0" borderId="14" xfId="53" applyNumberFormat="1" applyBorder="1" applyAlignment="1" applyProtection="1">
      <alignment horizontal="center" vertical="center"/>
      <protection/>
    </xf>
    <xf numFmtId="0" fontId="43" fillId="0" borderId="13" xfId="53" applyBorder="1" applyAlignment="1" applyProtection="1">
      <alignment horizontal="center"/>
      <protection/>
    </xf>
    <xf numFmtId="0" fontId="43" fillId="0" borderId="14" xfId="53" applyBorder="1" applyAlignment="1" applyProtection="1">
      <alignment horizontal="center"/>
      <protection/>
    </xf>
    <xf numFmtId="1" fontId="43" fillId="34" borderId="13" xfId="53" applyNumberFormat="1" applyFill="1" applyBorder="1" applyAlignment="1" applyProtection="1">
      <alignment horizontal="center" vertical="center"/>
      <protection/>
    </xf>
    <xf numFmtId="1" fontId="43" fillId="34" borderId="14" xfId="53" applyNumberFormat="1" applyFill="1" applyBorder="1" applyAlignment="1" applyProtection="1">
      <alignment horizontal="center" vertical="center"/>
      <protection/>
    </xf>
    <xf numFmtId="0" fontId="43" fillId="34" borderId="13" xfId="53" applyFill="1" applyBorder="1" applyAlignment="1" applyProtection="1">
      <alignment horizontal="center"/>
      <protection/>
    </xf>
    <xf numFmtId="0" fontId="43" fillId="34" borderId="14" xfId="53" applyFill="1" applyBorder="1" applyAlignment="1" applyProtection="1">
      <alignment horizontal="center"/>
      <protection/>
    </xf>
    <xf numFmtId="0" fontId="52" fillId="0" borderId="0" xfId="0" applyFont="1" applyBorder="1" applyAlignment="1">
      <alignment horizontal="left" vertical="center"/>
    </xf>
    <xf numFmtId="1" fontId="28" fillId="10" borderId="13" xfId="0" applyNumberFormat="1" applyFont="1" applyFill="1" applyBorder="1" applyAlignment="1">
      <alignment horizontal="left" vertical="center" indent="1"/>
    </xf>
    <xf numFmtId="1" fontId="28" fillId="10" borderId="15" xfId="0" applyNumberFormat="1" applyFont="1" applyFill="1" applyBorder="1" applyAlignment="1">
      <alignment horizontal="left" vertical="center" indent="1"/>
    </xf>
    <xf numFmtId="0" fontId="57" fillId="0" borderId="0" xfId="0" applyFont="1" applyAlignment="1">
      <alignment horizontal="center" vertical="center" wrapText="1"/>
    </xf>
    <xf numFmtId="1" fontId="49" fillId="0" borderId="0" xfId="0" applyNumberFormat="1" applyFont="1" applyAlignment="1">
      <alignment horizontal="center" vertical="center"/>
    </xf>
    <xf numFmtId="164" fontId="52" fillId="0" borderId="11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" fontId="28" fillId="10" borderId="15" xfId="0" applyNumberFormat="1" applyFont="1" applyFill="1" applyBorder="1" applyAlignment="1">
      <alignment horizontal="right" vertical="center"/>
    </xf>
    <xf numFmtId="1" fontId="28" fillId="10" borderId="15" xfId="0" applyNumberFormat="1" applyFont="1" applyFill="1" applyBorder="1" applyAlignment="1">
      <alignment horizontal="righ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1276350</xdr:colOff>
      <xdr:row>0</xdr:row>
      <xdr:rowOff>66675</xdr:rowOff>
    </xdr:from>
    <xdr:to>
      <xdr:col>6</xdr:col>
      <xdr:colOff>1790700</xdr:colOff>
      <xdr:row>0</xdr:row>
      <xdr:rowOff>666750</xdr:rowOff>
    </xdr:to>
    <xdr:pic>
      <xdr:nvPicPr>
        <xdr:cNvPr id="1" name="Picture 3" descr="JSSlogoURL_2-color.tif"/>
        <xdr:cNvPicPr preferRelativeResize="1">
          <a:picLocks noChangeAspect="1"/>
        </xdr:cNvPicPr>
      </xdr:nvPicPr>
      <xdr:blipFill>
        <a:blip r:embed="rId1"/>
        <a:srcRect b="20832"/>
        <a:stretch>
          <a:fillRect/>
        </a:stretch>
      </xdr:blipFill>
      <xdr:spPr>
        <a:xfrm>
          <a:off x="3533775" y="66675"/>
          <a:ext cx="2390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medepot.com/p/t/100322532?catalogId=10053&amp;langId=-1&amp;keyword=top+rail&amp;storeId=10051&amp;N=5yc1v&amp;R=100322532" TargetMode="External" /><Relationship Id="rId2" Type="http://schemas.openxmlformats.org/officeDocument/2006/relationships/hyperlink" Target="http://www.boltdepot.com/Product-Details.aspx?product=2032" TargetMode="External" /><Relationship Id="rId3" Type="http://schemas.openxmlformats.org/officeDocument/2006/relationships/hyperlink" Target="http://www.homedepot.com/p/Unbranded-1-in-x-4-in-x-8-ft-Premium-Cedar-Square-EdgeBoard-784261/202070415" TargetMode="External" /><Relationship Id="rId4" Type="http://schemas.openxmlformats.org/officeDocument/2006/relationships/hyperlink" Target="http://www.homedepot.com/p/Everbilt-3-in-Satin-Brass-Square-Corner-Door-Hinge-14989/202558080?N=5yc1vZc2ap" TargetMode="External" /><Relationship Id="rId5" Type="http://schemas.openxmlformats.org/officeDocument/2006/relationships/hyperlink" Target="http://www.homedepot.com/p/Everbilt-5-3-4-in-Zinc-Plated-Door-Pull-15181/202033999" TargetMode="External" /><Relationship Id="rId6" Type="http://schemas.openxmlformats.org/officeDocument/2006/relationships/hyperlink" Target="http://www.homedepot.com/p/Everbilt-6-in-Zinc-Plated-Hook-and-Eye-15335/202034263http:/www.homedepot.com/p/t/100322532?catalogId=10053&amp;langId=-1&amp;keyword=top+rail&amp;storeId=10051&amp;N=5yc1v&amp;R=100322532" TargetMode="External" /><Relationship Id="rId7" Type="http://schemas.openxmlformats.org/officeDocument/2006/relationships/hyperlink" Target="http://www.homedepot.com/p/Unbranded-2-in-x-6-in-x-12-ft-2-Better-Kiln-Dried-Heat-Treated-Spruce-Pine-Fir-Lumber-161756/100048001" TargetMode="External" /><Relationship Id="rId8" Type="http://schemas.openxmlformats.org/officeDocument/2006/relationships/hyperlink" Target="http://www.boltdepot.com/Product-Details.aspx?product=2760" TargetMode="External" /><Relationship Id="rId9" Type="http://schemas.openxmlformats.org/officeDocument/2006/relationships/hyperlink" Target="http://www.homedepot.com/p/Unbranded-2-in-x-4-in-x-96-in-Premium-Kiln-Dried-Whitewood-Stud-161640/202091220" TargetMode="External" /><Relationship Id="rId10" Type="http://schemas.openxmlformats.org/officeDocument/2006/relationships/hyperlink" Target="http://www.homedepot.com/p/Suntuf-26-in-x-8-ft-Clear-Polycarbonate-Roofing-Panel-101697/100021329" TargetMode="External" /><Relationship Id="rId11" Type="http://schemas.openxmlformats.org/officeDocument/2006/relationships/hyperlink" Target="http://www.boltdepot.com/Product-Details.aspx?product=2648" TargetMode="External" /><Relationship Id="rId12" Type="http://schemas.openxmlformats.org/officeDocument/2006/relationships/hyperlink" Target="http://www.homedepot.com/p/Grip-Rite-8-x-2-1-2-in-Coarse-Polymer-Plated-Steel-Bugle-Head-Phillips-Wood-Screws-1-lb-per-Box-PTN212S1/100173447" TargetMode="External" /><Relationship Id="rId13" Type="http://schemas.openxmlformats.org/officeDocument/2006/relationships/hyperlink" Target="http://www.boltdepot.com/Product-Details.aspx?product=2405" TargetMode="External" /><Relationship Id="rId14" Type="http://schemas.openxmlformats.org/officeDocument/2006/relationships/hyperlink" Target="http://www.boltdepot.com/Product-Details.aspx?product=2520" TargetMode="External" /><Relationship Id="rId15" Type="http://schemas.openxmlformats.org/officeDocument/2006/relationships/hyperlink" Target="http://www.homedepot.com/p/Unbranded-1-in-x-8-in-x-16-ft-Ledger-Board-234611/202527794" TargetMode="External" /><Relationship Id="rId16" Type="http://schemas.openxmlformats.org/officeDocument/2006/relationships/hyperlink" Target="http://www.boltdepot.com/Product-Details.aspx?product=7783" TargetMode="External" /><Relationship Id="rId17" Type="http://schemas.openxmlformats.org/officeDocument/2006/relationships/hyperlink" Target="http://www.boltdepot.com/Product-Details.aspx?product=12529" TargetMode="External" /><Relationship Id="rId18" Type="http://schemas.openxmlformats.org/officeDocument/2006/relationships/hyperlink" Target="http://www.boltdepot.com/Product-Details.aspx?product=2649" TargetMode="External" /><Relationship Id="rId19" Type="http://schemas.openxmlformats.org/officeDocument/2006/relationships/hyperlink" Target="http://www.boltdepot.com/Product-Details.aspx?product=3025" TargetMode="External" /><Relationship Id="rId20" Type="http://schemas.openxmlformats.org/officeDocument/2006/relationships/hyperlink" Target="http://www.boltdepot.com/Product-Details.aspx?product=2977" TargetMode="External" /><Relationship Id="rId21" Type="http://schemas.openxmlformats.org/officeDocument/2006/relationships/hyperlink" Target="http://www.boltdepot.com/Product-Details.aspx?product=2756" TargetMode="External" /><Relationship Id="rId22" Type="http://schemas.openxmlformats.org/officeDocument/2006/relationships/hyperlink" Target="http://www.boltdepot.com/Product-Details.aspx?product=2648" TargetMode="External" /><Relationship Id="rId23" Type="http://schemas.openxmlformats.org/officeDocument/2006/relationships/hyperlink" Target="http://www.boltdepot.com/Product-Details.aspx?product=199" TargetMode="External" /><Relationship Id="rId24" Type="http://schemas.openxmlformats.org/officeDocument/2006/relationships/hyperlink" Target="http://www.boltdepot.com/Product-Details.aspx?product=2624" TargetMode="External" /><Relationship Id="rId25" Type="http://schemas.openxmlformats.org/officeDocument/2006/relationships/hyperlink" Target="http://www.homedepot.com/p/YARDGARD-1-3-8-in-x-10-ft-6-in-17-Gauge-Galvanized-Steel-Top-Rail-328913DPT/100322532?keyword=181697" TargetMode="External" /><Relationship Id="rId26" Type="http://schemas.openxmlformats.org/officeDocument/2006/relationships/hyperlink" Target="http://www.homedepot.com/p/YARDGARD-1-3-8-in-x-10-ft-6-in-17-Gauge-Galvanized-Steel-Top-Rail-328913DPT/100322532?keyword=181697" TargetMode="External" /><Relationship Id="rId27" Type="http://schemas.openxmlformats.org/officeDocument/2006/relationships/hyperlink" Target="http://www.homedepot.com/p/YARDGARD-1-5-8-in-x-8-ft-16-Gauge-Galvanized-Steel-Line-Post-328923DPT/100322474?keyword=623105" TargetMode="External" /><Relationship Id="rId28" Type="http://schemas.openxmlformats.org/officeDocument/2006/relationships/hyperlink" Target="http://www.homedepot.com/p/Halex-3-4-in-Electric-Metallic-Tube-EMT-Compression-Coupling-5-Pack-20222/100178967" TargetMode="External" /><Relationship Id="rId29" Type="http://schemas.openxmlformats.org/officeDocument/2006/relationships/hyperlink" Target="http://www.parachute-cord.com/" TargetMode="External" /><Relationship Id="rId30" Type="http://schemas.openxmlformats.org/officeDocument/2006/relationships/hyperlink" Target="http://www.homedepot.com/p/Everbilt-4-Zinc-Plated-Steel-Screw-Eyes-25-Pack-14082/202183412" TargetMode="External" /><Relationship Id="rId31" Type="http://schemas.openxmlformats.org/officeDocument/2006/relationships/hyperlink" Target="http://www.boltdepot.com/Product-Details.aspx?product=2405" TargetMode="External" /><Relationship Id="rId32" Type="http://schemas.openxmlformats.org/officeDocument/2006/relationships/hyperlink" Target="http://www.homedepot.com/p/Lehigh-350-lb-3-8-in-x-8-in-Stainless-Steel-Hook-and-Eye-Turnbuckle-7112/100117143" TargetMode="External" /><Relationship Id="rId33" Type="http://schemas.openxmlformats.org/officeDocument/2006/relationships/hyperlink" Target="http://chainlinkfittings.com/store/1-3-8-brace-bands-chain-link-fence.html" TargetMode="External" /><Relationship Id="rId34" Type="http://schemas.openxmlformats.org/officeDocument/2006/relationships/hyperlink" Target="http://chainlinkfittings.com/store/1-3-8-brace-bands-chain-link-fence.html" TargetMode="External" /><Relationship Id="rId35" Type="http://schemas.openxmlformats.org/officeDocument/2006/relationships/hyperlink" Target="http://www.boltdepot.com/Product-Details.aspx?product=2753" TargetMode="External" /><Relationship Id="rId36" Type="http://schemas.openxmlformats.org/officeDocument/2006/relationships/hyperlink" Target="http://www.boltdepot.com/Product-Details.aspx?product=2648" TargetMode="External" /><Relationship Id="rId37" Type="http://schemas.openxmlformats.org/officeDocument/2006/relationships/hyperlink" Target="http://www.boltdepot.com/Product-Details.aspx?product=859" TargetMode="External" /><Relationship Id="rId38" Type="http://schemas.openxmlformats.org/officeDocument/2006/relationships/hyperlink" Target="http://www.boltdepot.com/Product-Details.aspx?product=2662" TargetMode="External" /><Relationship Id="rId39" Type="http://schemas.openxmlformats.org/officeDocument/2006/relationships/hyperlink" Target="http://www.boltdepot.com/Product-Details.aspx?product=2691" TargetMode="External" /><Relationship Id="rId40" Type="http://schemas.openxmlformats.org/officeDocument/2006/relationships/hyperlink" Target="https://www.johnnyseeds.com/tools-supplies/greenhouse-and-tunnel-supplies/benders/high-tunnel-12-wide-quick-hoops-bender-9018.html" TargetMode="External" /><Relationship Id="rId41" Type="http://schemas.openxmlformats.org/officeDocument/2006/relationships/hyperlink" Target="https://www.johnnyseeds.com/tools-supplies/greenhouse-and-tunnel-supplies/benders/high-tunnel-12-wide-quick-hoops-bender-9018.html" TargetMode="External" /><Relationship Id="rId42" Type="http://schemas.openxmlformats.org/officeDocument/2006/relationships/hyperlink" Target="https://www.johnnyseeds.com/tools-supplies/hand-tools/trowels-and-diggers/ground-post-driver-9482.0.html" TargetMode="External" /><Relationship Id="rId43" Type="http://schemas.openxmlformats.org/officeDocument/2006/relationships/hyperlink" Target="https://www.johnnyseeds.com/tools-supplies/hand-tools/trowels-and-diggers/ground-post-driver-9482.0.html" TargetMode="External" /><Relationship Id="rId44" Type="http://schemas.openxmlformats.org/officeDocument/2006/relationships/hyperlink" Target="https://www.johnnyseeds.com/tools-supplies/greenhouse-and-tunnel-supplies/hardware/cross-connectors-2-count-9542.0.html" TargetMode="External" /><Relationship Id="rId45" Type="http://schemas.openxmlformats.org/officeDocument/2006/relationships/hyperlink" Target="https://www.johnnyseeds.com/tools-supplies/greenhouse-and-tunnel-supplies/hardware/cross-connectors-2-count-9542.0.html" TargetMode="External" /><Relationship Id="rId46" Type="http://schemas.openxmlformats.org/officeDocument/2006/relationships/hyperlink" Target="https://www.johnnyseeds.com/tools-supplies/greenhouse-and-tunnel-supplies/greenhouse-film/tufflite-iv-28-x-125-greenhouse-film-7178.html" TargetMode="External" /><Relationship Id="rId47" Type="http://schemas.openxmlformats.org/officeDocument/2006/relationships/hyperlink" Target="https://www.johnnyseeds.com/tools-supplies/greenhouse-and-tunnel-supplies/greenhouse-film/tufflite-iv-28-x-125-greenhouse-film-7178.html" TargetMode="External" /><Relationship Id="rId48" Type="http://schemas.openxmlformats.org/officeDocument/2006/relationships/hyperlink" Target="https://www.johnnyseeds.com/tools-supplies/greenhouse-and-tunnel-supplies/hardware/poly-latch-wire-4-7040.0.html" TargetMode="External" /><Relationship Id="rId49" Type="http://schemas.openxmlformats.org/officeDocument/2006/relationships/hyperlink" Target="https://www.johnnyseeds.com/tools-supplies/greenhouse-and-tunnel-supplies/hardware/poly-latch-wire-4-7040.0.html" TargetMode="External" /><Relationship Id="rId50" Type="http://schemas.openxmlformats.org/officeDocument/2006/relationships/hyperlink" Target="https://www.johnnyseeds.com/tools-supplies/greenhouse-and-tunnel-supplies/hardware/poly-latch-channel-8-7041.0.html" TargetMode="External" /><Relationship Id="rId51" Type="http://schemas.openxmlformats.org/officeDocument/2006/relationships/hyperlink" Target="https://www.johnnyseeds.com/tools-supplies/greenhouse-and-tunnel-supplies/hardware/poly-latch-channel-8-7041.0.html" TargetMode="External" /><Relationship Id="rId52" Type="http://schemas.openxmlformats.org/officeDocument/2006/relationships/hyperlink" Target="https://www.johnnyseeds.com/tools-supplies/supports-and-anchors/snap-clamps-for-1%22-pvc-or-chain-link-fence-top-rail-7035.0.html" TargetMode="External" /><Relationship Id="rId53" Type="http://schemas.openxmlformats.org/officeDocument/2006/relationships/hyperlink" Target="https://www.johnnyseeds.com/tools-supplies/supports-and-anchors/snap-clamps-for-1%22-pvc-or-chain-link-fence-top-rail-7035.0.html" TargetMode="External" /><Relationship Id="rId54" Type="http://schemas.openxmlformats.org/officeDocument/2006/relationships/hyperlink" Target="https://www.johnnyseeds.com/tools-supplies/greenhouse-and-tunnel-supplies/hardware/sidewall-hand-crank-7033.0.html" TargetMode="External" /><Relationship Id="rId55" Type="http://schemas.openxmlformats.org/officeDocument/2006/relationships/hyperlink" Target="https://www.johnnyseeds.com/tools-supplies/greenhouse-and-tunnel-supplies/hardware/sidewall-hand-crank-7033.0.html" TargetMode="External" /><Relationship Id="rId56" Type="http://schemas.openxmlformats.org/officeDocument/2006/relationships/hyperlink" Target="https://www.johnnyseeds.com/tools-supplies/supports-and-anchors/snap-clamps-for-3-4%22-emt-or-1-2%22-pvc-9150.0.html" TargetMode="External" /><Relationship Id="rId57" Type="http://schemas.openxmlformats.org/officeDocument/2006/relationships/hyperlink" Target="https://www.johnnyseeds.com/tools-supplies/supports-and-anchors/snap-clamps-for-3-4%22-emt-or-1-2%22-pvc-9150.0.html" TargetMode="External" /><Relationship Id="rId58" Type="http://schemas.openxmlformats.org/officeDocument/2006/relationships/hyperlink" Target="https://www.johnnyseeds.com/tools-supplies/supports-and-anchors/coiled-%239-support-wire-550-9725.0.html" TargetMode="External" /><Relationship Id="rId59" Type="http://schemas.openxmlformats.org/officeDocument/2006/relationships/hyperlink" Target="https://www.johnnyseeds.com/tools-supplies/supports-and-anchors/coiled-%239-support-wire-550-9725.0.html" TargetMode="External" /><Relationship Id="rId6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97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7.00390625" style="4" customWidth="1"/>
    <col min="2" max="2" width="9.28125" style="6" customWidth="1"/>
    <col min="3" max="3" width="6.00390625" style="6" customWidth="1"/>
    <col min="4" max="4" width="5.421875" style="6" customWidth="1"/>
    <col min="5" max="5" width="6.140625" style="4" customWidth="1"/>
    <col min="6" max="6" width="28.140625" style="4" customWidth="1"/>
    <col min="7" max="7" width="51.28125" style="4" customWidth="1"/>
    <col min="8" max="8" width="9.421875" style="9" customWidth="1"/>
    <col min="9" max="9" width="12.421875" style="9" customWidth="1"/>
    <col min="10" max="10" width="2.7109375" style="4" customWidth="1"/>
    <col min="11" max="11" width="9.421875" style="5" customWidth="1"/>
    <col min="12" max="12" width="8.421875" style="5" customWidth="1"/>
    <col min="13" max="17" width="9.140625" style="5" customWidth="1"/>
    <col min="18" max="16384" width="9.140625" style="4" customWidth="1"/>
  </cols>
  <sheetData>
    <row r="1" ht="55.5" customHeight="1"/>
    <row r="2" spans="2:12" s="28" customFormat="1" ht="28.5">
      <c r="B2" s="71" t="s">
        <v>65</v>
      </c>
      <c r="C2" s="71"/>
      <c r="D2" s="71"/>
      <c r="E2" s="71"/>
      <c r="F2" s="71"/>
      <c r="G2" s="71"/>
      <c r="H2" s="71"/>
      <c r="I2" s="71"/>
      <c r="K2" s="43"/>
      <c r="L2" s="10"/>
    </row>
    <row r="3" spans="2:12" s="28" customFormat="1" ht="15">
      <c r="B3" s="90" t="s">
        <v>29</v>
      </c>
      <c r="C3" s="90"/>
      <c r="D3" s="90"/>
      <c r="E3" s="90"/>
      <c r="F3" s="90"/>
      <c r="G3" s="90"/>
      <c r="H3" s="90"/>
      <c r="I3" s="90"/>
      <c r="K3" s="43"/>
      <c r="L3" s="10"/>
    </row>
    <row r="4" spans="2:12" s="28" customFormat="1" ht="5.25" customHeight="1">
      <c r="B4" s="11"/>
      <c r="C4" s="11"/>
      <c r="D4" s="11"/>
      <c r="E4" s="11"/>
      <c r="F4" s="11"/>
      <c r="G4" s="11"/>
      <c r="H4" s="11"/>
      <c r="I4" s="11"/>
      <c r="K4" s="43"/>
      <c r="L4" s="10"/>
    </row>
    <row r="5" spans="2:12" s="22" customFormat="1" ht="18" customHeight="1">
      <c r="B5" s="91" t="s">
        <v>15</v>
      </c>
      <c r="C5" s="91"/>
      <c r="D5" s="91"/>
      <c r="E5" s="91"/>
      <c r="H5" s="16" t="s">
        <v>12</v>
      </c>
      <c r="I5" s="69">
        <f>12*D7</f>
        <v>1200</v>
      </c>
      <c r="K5" s="16"/>
      <c r="L5" s="15"/>
    </row>
    <row r="6" spans="2:12" s="22" customFormat="1" ht="4.5" customHeight="1">
      <c r="B6" s="24"/>
      <c r="C6" s="24"/>
      <c r="D6" s="36"/>
      <c r="E6" s="24"/>
      <c r="H6" s="16"/>
      <c r="I6" s="69"/>
      <c r="K6" s="16"/>
      <c r="L6" s="15"/>
    </row>
    <row r="7" spans="2:12" s="22" customFormat="1" ht="19.5" customHeight="1">
      <c r="B7" s="72" t="s">
        <v>16</v>
      </c>
      <c r="C7" s="73"/>
      <c r="D7" s="40">
        <v>100</v>
      </c>
      <c r="E7" s="38" t="s">
        <v>30</v>
      </c>
      <c r="F7" s="22" t="s">
        <v>31</v>
      </c>
      <c r="G7" s="17"/>
      <c r="H7" s="16" t="s">
        <v>13</v>
      </c>
      <c r="I7" s="70">
        <f>I87/I5</f>
        <v>2.5919499999999998</v>
      </c>
      <c r="K7" s="16"/>
      <c r="L7" s="15"/>
    </row>
    <row r="8" spans="2:12" s="22" customFormat="1" ht="19.5" customHeight="1">
      <c r="B8" s="74" t="s">
        <v>32</v>
      </c>
      <c r="C8" s="75"/>
      <c r="D8" s="25">
        <v>4</v>
      </c>
      <c r="E8" s="41" t="s">
        <v>30</v>
      </c>
      <c r="F8" s="22" t="s">
        <v>33</v>
      </c>
      <c r="G8" s="17"/>
      <c r="K8" s="16"/>
      <c r="L8" s="15"/>
    </row>
    <row r="9" spans="2:12" s="22" customFormat="1" ht="19.5" customHeight="1">
      <c r="B9" s="74" t="s">
        <v>34</v>
      </c>
      <c r="C9" s="75"/>
      <c r="D9" s="25">
        <v>4</v>
      </c>
      <c r="E9" s="41" t="s">
        <v>30</v>
      </c>
      <c r="F9" s="22" t="s">
        <v>35</v>
      </c>
      <c r="G9" s="17"/>
      <c r="I9" s="42"/>
      <c r="K9" s="16"/>
      <c r="L9" s="15"/>
    </row>
    <row r="10" spans="4:12" s="22" customFormat="1" ht="5.25" customHeight="1">
      <c r="D10" s="39"/>
      <c r="E10" s="41"/>
      <c r="F10" s="21"/>
      <c r="G10" s="17"/>
      <c r="I10" s="42"/>
      <c r="K10" s="16"/>
      <c r="L10" s="15"/>
    </row>
    <row r="11" spans="2:12" s="22" customFormat="1" ht="18" customHeight="1">
      <c r="B11" s="86" t="s">
        <v>36</v>
      </c>
      <c r="C11" s="86"/>
      <c r="D11" s="72">
        <f>D7/D8</f>
        <v>25</v>
      </c>
      <c r="E11" s="72"/>
      <c r="F11" s="92">
        <f>IF(D9=3,"",IF(D9=4,"",IF(D9="","","***Please enter only 3 or 4 for Ground Post Height.***")))</f>
      </c>
      <c r="G11" s="92"/>
      <c r="H11" s="92"/>
      <c r="I11" s="92"/>
      <c r="K11" s="16"/>
      <c r="L11" s="15"/>
    </row>
    <row r="12" spans="2:12" s="28" customFormat="1" ht="18" customHeight="1">
      <c r="B12" s="86" t="s">
        <v>5</v>
      </c>
      <c r="C12" s="86"/>
      <c r="D12" s="37">
        <f>D11+1</f>
        <v>26</v>
      </c>
      <c r="E12" s="37"/>
      <c r="F12" s="22"/>
      <c r="H12" s="2"/>
      <c r="I12" s="2"/>
      <c r="L12" s="3"/>
    </row>
    <row r="13" spans="2:17" s="28" customFormat="1" ht="5.25" customHeight="1">
      <c r="B13" s="37"/>
      <c r="C13" s="37"/>
      <c r="D13" s="15"/>
      <c r="E13" s="37"/>
      <c r="F13" s="22"/>
      <c r="H13" s="2"/>
      <c r="I13" s="2"/>
      <c r="K13" s="3"/>
      <c r="L13" s="3"/>
      <c r="M13" s="35"/>
      <c r="N13" s="3"/>
      <c r="O13" s="3"/>
      <c r="P13" s="3"/>
      <c r="Q13" s="3"/>
    </row>
    <row r="14" spans="2:17" s="1" customFormat="1" ht="16.5" customHeight="1">
      <c r="B14" s="25" t="s">
        <v>21</v>
      </c>
      <c r="C14" s="37" t="s">
        <v>44</v>
      </c>
      <c r="D14" s="15"/>
      <c r="E14" s="23"/>
      <c r="F14" s="22"/>
      <c r="G14" s="89">
        <f>IF(AND(B14="X",B15=0,B16=0),"",IF(AND(B15="X",B14=0,B16=0),"",IF(AND(B16="X",B14=0,B15=0),"","Type 'X' next to your choice for End Wall Options.               Please make only one choice.")))</f>
      </c>
      <c r="H14" s="2"/>
      <c r="I14" s="2"/>
      <c r="K14" s="3"/>
      <c r="L14" s="3"/>
      <c r="M14" s="3"/>
      <c r="N14" s="3"/>
      <c r="O14" s="3"/>
      <c r="P14" s="3"/>
      <c r="Q14" s="3"/>
    </row>
    <row r="15" spans="2:17" s="1" customFormat="1" ht="16.5" customHeight="1">
      <c r="B15" s="25"/>
      <c r="C15" s="37" t="s">
        <v>54</v>
      </c>
      <c r="D15" s="15"/>
      <c r="E15" s="23"/>
      <c r="F15" s="22"/>
      <c r="G15" s="89"/>
      <c r="H15" s="2"/>
      <c r="I15" s="2"/>
      <c r="K15" s="3"/>
      <c r="L15" s="3"/>
      <c r="M15" s="3" t="s">
        <v>22</v>
      </c>
      <c r="N15" s="3"/>
      <c r="O15" s="3"/>
      <c r="P15" s="3"/>
      <c r="Q15" s="3"/>
    </row>
    <row r="16" spans="2:17" s="28" customFormat="1" ht="16.5" customHeight="1">
      <c r="B16" s="25"/>
      <c r="C16" s="37" t="s">
        <v>43</v>
      </c>
      <c r="D16" s="15"/>
      <c r="E16" s="37"/>
      <c r="F16" s="22"/>
      <c r="G16" s="89"/>
      <c r="H16" s="2"/>
      <c r="I16" s="2"/>
      <c r="K16" s="3"/>
      <c r="L16" s="3"/>
      <c r="M16" s="3"/>
      <c r="N16" s="3"/>
      <c r="O16" s="3"/>
      <c r="P16" s="3"/>
      <c r="Q16" s="3"/>
    </row>
    <row r="17" spans="2:17" s="1" customFormat="1" ht="5.25" customHeight="1">
      <c r="B17" s="23"/>
      <c r="C17" s="23"/>
      <c r="D17" s="15"/>
      <c r="E17" s="23"/>
      <c r="F17" s="22"/>
      <c r="H17" s="2"/>
      <c r="I17" s="2"/>
      <c r="K17" s="3"/>
      <c r="L17" s="3"/>
      <c r="M17" s="3"/>
      <c r="N17" s="3"/>
      <c r="O17" s="3"/>
      <c r="P17" s="3"/>
      <c r="Q17" s="3"/>
    </row>
    <row r="18" spans="2:17" s="1" customFormat="1" ht="15.75" customHeight="1">
      <c r="B18" s="25"/>
      <c r="C18" s="37" t="s">
        <v>27</v>
      </c>
      <c r="D18" s="15"/>
      <c r="E18" s="29"/>
      <c r="F18" s="22"/>
      <c r="G18" s="89">
        <f>IF(AND(B18="X",B19=0,B20=0),"",IF(AND(B19="X",B18=0,B20=0),"",IF(AND(B20="X",B18=0,B19=0),"","Type 'X' next to your choice for Roll-up Sides.               Please make only one choice.")))</f>
      </c>
      <c r="H18" s="2"/>
      <c r="I18" s="2"/>
      <c r="K18" s="3"/>
      <c r="L18" s="3"/>
      <c r="M18" s="3"/>
      <c r="N18" s="3"/>
      <c r="O18" s="3"/>
      <c r="P18" s="3"/>
      <c r="Q18" s="3"/>
    </row>
    <row r="19" spans="2:17" s="1" customFormat="1" ht="15.75" customHeight="1">
      <c r="B19" s="25" t="s">
        <v>21</v>
      </c>
      <c r="C19" s="29" t="s">
        <v>23</v>
      </c>
      <c r="D19" s="15"/>
      <c r="E19" s="29"/>
      <c r="F19" s="22"/>
      <c r="G19" s="89"/>
      <c r="H19" s="2"/>
      <c r="I19" s="2"/>
      <c r="K19" s="3"/>
      <c r="L19" s="3"/>
      <c r="M19" s="3"/>
      <c r="N19" s="3"/>
      <c r="O19" s="3"/>
      <c r="P19" s="3"/>
      <c r="Q19" s="3"/>
    </row>
    <row r="20" spans="2:17" s="28" customFormat="1" ht="15.75" customHeight="1">
      <c r="B20" s="25"/>
      <c r="C20" s="37" t="s">
        <v>28</v>
      </c>
      <c r="D20" s="15"/>
      <c r="E20" s="37"/>
      <c r="F20" s="22"/>
      <c r="G20" s="89"/>
      <c r="H20" s="2"/>
      <c r="I20" s="2"/>
      <c r="K20" s="3"/>
      <c r="L20" s="3"/>
      <c r="M20" s="3"/>
      <c r="N20" s="3"/>
      <c r="O20" s="3"/>
      <c r="P20" s="3"/>
      <c r="Q20" s="3"/>
    </row>
    <row r="21" spans="2:17" s="28" customFormat="1" ht="5.25" customHeight="1">
      <c r="B21" s="37"/>
      <c r="C21" s="37"/>
      <c r="D21" s="15"/>
      <c r="E21" s="37"/>
      <c r="F21" s="22"/>
      <c r="H21" s="2"/>
      <c r="I21" s="2"/>
      <c r="K21" s="3"/>
      <c r="L21" s="3"/>
      <c r="M21" s="3"/>
      <c r="N21" s="3"/>
      <c r="O21" s="3"/>
      <c r="P21" s="3"/>
      <c r="Q21" s="3"/>
    </row>
    <row r="22" spans="2:17" s="28" customFormat="1" ht="15.75" customHeight="1">
      <c r="B22" s="25">
        <v>2</v>
      </c>
      <c r="C22" s="37" t="s">
        <v>52</v>
      </c>
      <c r="D22" s="15"/>
      <c r="E22" s="37"/>
      <c r="F22" s="22"/>
      <c r="G22" s="89">
        <f>IF(B22="x","Enter the quantity of Cable Purlins you would like
(e.g.: 1, 2, or 3), or put an X next to No Purlins.",IF(AND(B22&gt;0,B23=0),"",IF(AND(B22="",B23="x"),"","Enter the quantity of Cable Purlins you would like
(e.g.: 1, 2, or 3), or put an X next to No Purlins.")))</f>
      </c>
      <c r="H22" s="2"/>
      <c r="I22" s="2"/>
      <c r="K22" s="3"/>
      <c r="L22" s="3"/>
      <c r="M22" s="3"/>
      <c r="N22" s="3"/>
      <c r="O22" s="3"/>
      <c r="P22" s="3"/>
      <c r="Q22" s="3"/>
    </row>
    <row r="23" spans="2:17" s="28" customFormat="1" ht="15.75" customHeight="1">
      <c r="B23" s="25"/>
      <c r="C23" s="37" t="s">
        <v>51</v>
      </c>
      <c r="D23" s="15"/>
      <c r="E23" s="37"/>
      <c r="F23" s="22"/>
      <c r="G23" s="89"/>
      <c r="H23" s="2"/>
      <c r="I23" s="2"/>
      <c r="K23" s="3"/>
      <c r="L23" s="3"/>
      <c r="M23" s="3"/>
      <c r="N23" s="3"/>
      <c r="O23" s="3"/>
      <c r="P23" s="3"/>
      <c r="Q23" s="3"/>
    </row>
    <row r="24" spans="2:17" s="1" customFormat="1" ht="5.25" customHeight="1">
      <c r="B24" s="23"/>
      <c r="C24" s="23"/>
      <c r="D24" s="15"/>
      <c r="E24" s="23"/>
      <c r="F24" s="22"/>
      <c r="H24" s="2"/>
      <c r="I24" s="2"/>
      <c r="K24" s="3"/>
      <c r="L24" s="3"/>
      <c r="M24" s="3"/>
      <c r="N24" s="3"/>
      <c r="O24" s="3"/>
      <c r="P24" s="3"/>
      <c r="Q24" s="3"/>
    </row>
    <row r="25" spans="2:9" s="3" customFormat="1" ht="15">
      <c r="B25" s="18" t="s">
        <v>0</v>
      </c>
      <c r="C25" s="18" t="s">
        <v>6</v>
      </c>
      <c r="D25" s="76" t="s">
        <v>8</v>
      </c>
      <c r="E25" s="77"/>
      <c r="F25" s="19" t="s">
        <v>19</v>
      </c>
      <c r="G25" s="19" t="s">
        <v>1</v>
      </c>
      <c r="H25" s="20" t="s">
        <v>2</v>
      </c>
      <c r="I25" s="20" t="s">
        <v>3</v>
      </c>
    </row>
    <row r="26" spans="2:17" s="64" customFormat="1" ht="13.5">
      <c r="B26" s="87" t="s">
        <v>45</v>
      </c>
      <c r="C26" s="88"/>
      <c r="D26" s="88"/>
      <c r="E26" s="88"/>
      <c r="F26" s="88"/>
      <c r="G26" s="94" t="s">
        <v>56</v>
      </c>
      <c r="H26" s="94"/>
      <c r="I26" s="63">
        <f>SUM(I27:I28)</f>
        <v>88.95</v>
      </c>
      <c r="K26" s="65"/>
      <c r="L26" s="65"/>
      <c r="M26" s="65"/>
      <c r="N26" s="65"/>
      <c r="O26" s="65"/>
      <c r="P26" s="65"/>
      <c r="Q26" s="65"/>
    </row>
    <row r="27" spans="2:17" s="28" customFormat="1" ht="15">
      <c r="B27" s="48">
        <v>1</v>
      </c>
      <c r="C27" s="48" t="s">
        <v>7</v>
      </c>
      <c r="D27" s="78">
        <v>9018</v>
      </c>
      <c r="E27" s="79"/>
      <c r="F27" s="49" t="s">
        <v>9</v>
      </c>
      <c r="G27" s="50" t="s">
        <v>10</v>
      </c>
      <c r="H27" s="33">
        <v>59</v>
      </c>
      <c r="I27" s="33">
        <f>IF(H27="","",B27*H27)</f>
        <v>59</v>
      </c>
      <c r="K27" s="3"/>
      <c r="L27" s="3"/>
      <c r="M27" s="3"/>
      <c r="N27" s="3"/>
      <c r="O27" s="3"/>
      <c r="P27" s="3"/>
      <c r="Q27" s="3"/>
    </row>
    <row r="28" spans="2:9" ht="15">
      <c r="B28" s="48">
        <v>1</v>
      </c>
      <c r="C28" s="48" t="s">
        <v>7</v>
      </c>
      <c r="D28" s="78">
        <v>9482</v>
      </c>
      <c r="E28" s="79"/>
      <c r="F28" s="62" t="s">
        <v>9</v>
      </c>
      <c r="G28" s="51" t="s">
        <v>47</v>
      </c>
      <c r="H28" s="33">
        <v>29.95</v>
      </c>
      <c r="I28" s="33">
        <f>IF(B28="","",B28*H28)</f>
        <v>29.95</v>
      </c>
    </row>
    <row r="29" spans="2:17" s="64" customFormat="1" ht="13.5">
      <c r="B29" s="87" t="s">
        <v>46</v>
      </c>
      <c r="C29" s="88"/>
      <c r="D29" s="88"/>
      <c r="E29" s="88"/>
      <c r="F29" s="88"/>
      <c r="G29" s="94" t="s">
        <v>56</v>
      </c>
      <c r="H29" s="94"/>
      <c r="I29" s="63">
        <f>SUM(I30:I44)</f>
        <v>1645.9099999999994</v>
      </c>
      <c r="K29" s="65"/>
      <c r="L29" s="65"/>
      <c r="M29" s="65"/>
      <c r="N29" s="65"/>
      <c r="O29" s="65"/>
      <c r="P29" s="65"/>
      <c r="Q29" s="65"/>
    </row>
    <row r="30" spans="2:10" ht="15">
      <c r="B30" s="30">
        <f>D7*2/D8+2</f>
        <v>52</v>
      </c>
      <c r="C30" s="30" t="s">
        <v>7</v>
      </c>
      <c r="D30" s="78">
        <v>181697</v>
      </c>
      <c r="E30" s="79"/>
      <c r="F30" s="66" t="s">
        <v>17</v>
      </c>
      <c r="G30" s="31" t="s">
        <v>41</v>
      </c>
      <c r="H30" s="32">
        <v>11.31</v>
      </c>
      <c r="I30" s="32">
        <f aca="true" t="shared" si="0" ref="I30:I37">IF(B30="","",B30*H30)</f>
        <v>588.12</v>
      </c>
      <c r="J30" s="52" t="s">
        <v>11</v>
      </c>
    </row>
    <row r="31" spans="2:10" ht="15">
      <c r="B31" s="30">
        <f>IF(B14="x",ROUNDUP(D7/10+0.5,0),ROUNDUP(D7/10,0))</f>
        <v>11</v>
      </c>
      <c r="C31" s="30" t="s">
        <v>7</v>
      </c>
      <c r="D31" s="78">
        <v>181697</v>
      </c>
      <c r="E31" s="79"/>
      <c r="F31" s="66" t="s">
        <v>17</v>
      </c>
      <c r="G31" s="31" t="s">
        <v>42</v>
      </c>
      <c r="H31" s="32">
        <v>11.31</v>
      </c>
      <c r="I31" s="32">
        <f t="shared" si="0"/>
        <v>124.41000000000001</v>
      </c>
      <c r="J31" s="52" t="s">
        <v>11</v>
      </c>
    </row>
    <row r="32" spans="2:10" ht="15">
      <c r="B32" s="30">
        <f>B30/2</f>
        <v>26</v>
      </c>
      <c r="C32" s="30" t="s">
        <v>7</v>
      </c>
      <c r="D32" s="78">
        <f>IF(D9=3,320858,IF(D9=4,623105,""))</f>
        <v>623105</v>
      </c>
      <c r="E32" s="79"/>
      <c r="F32" s="66" t="s">
        <v>17</v>
      </c>
      <c r="G32" s="31" t="str">
        <f>IF(D9=3,"6 ft length of 1-5/8 in. line post for ground posts",IF(D9=4,"8 ft length of 1-5/8 in. line post for ground posts",""))</f>
        <v>8 ft length of 1-5/8 in. line post for ground posts</v>
      </c>
      <c r="H32" s="32">
        <f>IF(D9=3,13.68,IF(D9=4,15.98,""))</f>
        <v>15.98</v>
      </c>
      <c r="I32" s="32">
        <f t="shared" si="0"/>
        <v>415.48</v>
      </c>
      <c r="J32" s="52" t="s">
        <v>11</v>
      </c>
    </row>
    <row r="33" spans="2:17" s="52" customFormat="1" ht="15">
      <c r="B33" s="48">
        <f>ROUNDUP(D12/2,0)</f>
        <v>13</v>
      </c>
      <c r="C33" s="48" t="s">
        <v>7</v>
      </c>
      <c r="D33" s="78">
        <v>9542</v>
      </c>
      <c r="E33" s="79"/>
      <c r="F33" s="66" t="s">
        <v>9</v>
      </c>
      <c r="G33" s="50" t="s">
        <v>37</v>
      </c>
      <c r="H33" s="33">
        <v>5.1</v>
      </c>
      <c r="I33" s="33">
        <f t="shared" si="0"/>
        <v>66.3</v>
      </c>
      <c r="K33" s="53"/>
      <c r="L33" s="53"/>
      <c r="M33" s="53"/>
      <c r="N33" s="53"/>
      <c r="O33" s="53"/>
      <c r="P33" s="53"/>
      <c r="Q33" s="53"/>
    </row>
    <row r="34" spans="2:10" ht="15">
      <c r="B34" s="30">
        <f>ROUNDUP(2.1*D12/100,0)</f>
        <v>1</v>
      </c>
      <c r="C34" s="46" t="s">
        <v>7</v>
      </c>
      <c r="D34" s="78">
        <v>2405</v>
      </c>
      <c r="E34" s="79"/>
      <c r="F34" s="66" t="s">
        <v>38</v>
      </c>
      <c r="G34" s="47" t="s">
        <v>62</v>
      </c>
      <c r="H34" s="32">
        <v>3.83</v>
      </c>
      <c r="I34" s="32">
        <f t="shared" si="0"/>
        <v>3.83</v>
      </c>
      <c r="J34" s="52" t="s">
        <v>11</v>
      </c>
    </row>
    <row r="35" spans="2:10" ht="15">
      <c r="B35" s="30">
        <f>2*D12</f>
        <v>52</v>
      </c>
      <c r="C35" s="46" t="s">
        <v>7</v>
      </c>
      <c r="D35" s="78">
        <v>12529</v>
      </c>
      <c r="E35" s="79"/>
      <c r="F35" s="66" t="s">
        <v>38</v>
      </c>
      <c r="G35" s="47" t="s">
        <v>64</v>
      </c>
      <c r="H35" s="32">
        <v>1.38</v>
      </c>
      <c r="I35" s="32">
        <f t="shared" si="0"/>
        <v>71.75999999999999</v>
      </c>
      <c r="J35" s="52" t="s">
        <v>11</v>
      </c>
    </row>
    <row r="36" spans="2:10" ht="15">
      <c r="B36" s="30">
        <f>B35</f>
        <v>52</v>
      </c>
      <c r="C36" s="46" t="s">
        <v>7</v>
      </c>
      <c r="D36" s="78">
        <v>2649</v>
      </c>
      <c r="E36" s="79"/>
      <c r="F36" s="66" t="s">
        <v>38</v>
      </c>
      <c r="G36" s="47" t="s">
        <v>39</v>
      </c>
      <c r="H36" s="32">
        <v>0.05</v>
      </c>
      <c r="I36" s="32">
        <f t="shared" si="0"/>
        <v>2.6</v>
      </c>
      <c r="J36" s="52" t="s">
        <v>11</v>
      </c>
    </row>
    <row r="37" spans="2:10" ht="15">
      <c r="B37" s="30">
        <f>B35</f>
        <v>52</v>
      </c>
      <c r="C37" s="46" t="s">
        <v>7</v>
      </c>
      <c r="D37" s="78">
        <v>3025</v>
      </c>
      <c r="E37" s="79"/>
      <c r="F37" s="66" t="s">
        <v>38</v>
      </c>
      <c r="G37" s="47" t="s">
        <v>40</v>
      </c>
      <c r="H37" s="32">
        <v>0.05</v>
      </c>
      <c r="I37" s="32">
        <f t="shared" si="0"/>
        <v>2.6</v>
      </c>
      <c r="J37" s="52" t="s">
        <v>11</v>
      </c>
    </row>
    <row r="38" spans="2:10" ht="15">
      <c r="B38" s="30">
        <f>B35</f>
        <v>52</v>
      </c>
      <c r="C38" s="46" t="s">
        <v>7</v>
      </c>
      <c r="D38" s="78">
        <v>2977</v>
      </c>
      <c r="E38" s="79"/>
      <c r="F38" s="66" t="s">
        <v>38</v>
      </c>
      <c r="G38" s="47" t="s">
        <v>59</v>
      </c>
      <c r="H38" s="32">
        <v>0.05</v>
      </c>
      <c r="I38" s="32">
        <f>IF(B38="","",B38*H38)</f>
        <v>2.6</v>
      </c>
      <c r="J38" s="52" t="s">
        <v>11</v>
      </c>
    </row>
    <row r="39" spans="2:10" ht="15">
      <c r="B39" s="30">
        <f>4*ROUNDUP(D7/14,0)</f>
        <v>32</v>
      </c>
      <c r="C39" s="46" t="s">
        <v>7</v>
      </c>
      <c r="D39" s="78">
        <v>732050</v>
      </c>
      <c r="E39" s="79"/>
      <c r="F39" s="66" t="s">
        <v>17</v>
      </c>
      <c r="G39" s="67" t="s">
        <v>60</v>
      </c>
      <c r="H39" s="32">
        <v>10.98</v>
      </c>
      <c r="I39" s="32">
        <f>IF(B39="","",B39*H39)</f>
        <v>351.36</v>
      </c>
      <c r="J39" s="52" t="s">
        <v>11</v>
      </c>
    </row>
    <row r="40" spans="2:10" ht="15">
      <c r="B40" s="30">
        <f>2*D12</f>
        <v>52</v>
      </c>
      <c r="C40" s="46" t="s">
        <v>7</v>
      </c>
      <c r="D40" s="78">
        <v>2756</v>
      </c>
      <c r="E40" s="79"/>
      <c r="F40" s="66" t="s">
        <v>38</v>
      </c>
      <c r="G40" s="47" t="s">
        <v>57</v>
      </c>
      <c r="H40" s="32">
        <v>0.12</v>
      </c>
      <c r="I40" s="32">
        <f>IF(B40="","",B40*H40)</f>
        <v>6.24</v>
      </c>
      <c r="J40" s="52" t="s">
        <v>11</v>
      </c>
    </row>
    <row r="41" spans="2:17" s="52" customFormat="1" ht="15">
      <c r="B41" s="61">
        <f>B40</f>
        <v>52</v>
      </c>
      <c r="C41" s="46" t="s">
        <v>7</v>
      </c>
      <c r="D41" s="80">
        <v>2648</v>
      </c>
      <c r="E41" s="81"/>
      <c r="F41" s="66" t="s">
        <v>38</v>
      </c>
      <c r="G41" s="51" t="s">
        <v>63</v>
      </c>
      <c r="H41" s="60">
        <v>0.05</v>
      </c>
      <c r="I41" s="33">
        <f>IF(H41="","",B41*H41)</f>
        <v>2.6</v>
      </c>
      <c r="J41" s="52" t="s">
        <v>11</v>
      </c>
      <c r="K41" s="58"/>
      <c r="L41" s="58"/>
      <c r="M41" s="58"/>
      <c r="N41" s="53"/>
      <c r="O41" s="53"/>
      <c r="P41" s="53"/>
      <c r="Q41" s="53"/>
    </row>
    <row r="42" spans="2:17" s="52" customFormat="1" ht="15">
      <c r="B42" s="61">
        <f>ROUNDUP(8*B39/100,0)</f>
        <v>3</v>
      </c>
      <c r="C42" s="46" t="s">
        <v>7</v>
      </c>
      <c r="D42" s="80">
        <v>7783</v>
      </c>
      <c r="E42" s="81"/>
      <c r="F42" s="66" t="s">
        <v>38</v>
      </c>
      <c r="G42" s="51" t="s">
        <v>61</v>
      </c>
      <c r="H42" s="60">
        <v>0.07</v>
      </c>
      <c r="I42" s="33">
        <f>IF(H42="","",B42*H42)</f>
        <v>0.21000000000000002</v>
      </c>
      <c r="J42" s="52" t="s">
        <v>11</v>
      </c>
      <c r="K42" s="58"/>
      <c r="L42" s="58"/>
      <c r="M42" s="58"/>
      <c r="N42" s="53"/>
      <c r="O42" s="53"/>
      <c r="P42" s="53"/>
      <c r="Q42" s="53"/>
    </row>
    <row r="43" spans="2:10" ht="15">
      <c r="B43" s="30">
        <f>IF(D9=4,D12*2,"")</f>
        <v>52</v>
      </c>
      <c r="C43" s="46" t="str">
        <f>IF(D9=4,"each","")</f>
        <v>each</v>
      </c>
      <c r="D43" s="78" t="str">
        <f>IF(D9=4,"199","")</f>
        <v>199</v>
      </c>
      <c r="E43" s="79"/>
      <c r="F43" s="66" t="str">
        <f>IF(D9=4,"www.boltdepot.com","")</f>
        <v>www.boltdepot.com</v>
      </c>
      <c r="G43" s="47" t="str">
        <f>IF(D9=4,"1/4-20 x 2 in. hex head bolt for taller ground posts","")</f>
        <v>1/4-20 x 2 in. hex head bolt for taller ground posts</v>
      </c>
      <c r="H43" s="32">
        <v>0.1</v>
      </c>
      <c r="I43" s="32">
        <f>IF(B43="","",B43*H43)</f>
        <v>5.2</v>
      </c>
      <c r="J43" s="52" t="s">
        <v>11</v>
      </c>
    </row>
    <row r="44" spans="2:10" ht="15">
      <c r="B44" s="30">
        <f>B43</f>
        <v>52</v>
      </c>
      <c r="C44" s="46" t="str">
        <f>IF(D9=4,"each","")</f>
        <v>each</v>
      </c>
      <c r="D44" s="78" t="str">
        <f>IF(D9=4,"2624","")</f>
        <v>2624</v>
      </c>
      <c r="E44" s="79"/>
      <c r="F44" s="66" t="str">
        <f>IF(D9=4,"www.boltdepot.com","")</f>
        <v>www.boltdepot.com</v>
      </c>
      <c r="G44" s="47" t="str">
        <f>IF(D9=4,"1/4 -20 nylock lock nut","")</f>
        <v>1/4 -20 nylock lock nut</v>
      </c>
      <c r="H44" s="32">
        <v>0.05</v>
      </c>
      <c r="I44" s="32">
        <f>IF(B44="","",B44*H44)</f>
        <v>2.6</v>
      </c>
      <c r="J44" s="52" t="s">
        <v>11</v>
      </c>
    </row>
    <row r="45" spans="2:17" s="64" customFormat="1" ht="13.5">
      <c r="B45" s="87" t="s">
        <v>49</v>
      </c>
      <c r="C45" s="88"/>
      <c r="D45" s="88"/>
      <c r="E45" s="88"/>
      <c r="F45" s="88"/>
      <c r="G45" s="93" t="s">
        <v>56</v>
      </c>
      <c r="H45" s="93"/>
      <c r="I45" s="63">
        <f>SUM(I46:I49)</f>
        <v>769.2400000000001</v>
      </c>
      <c r="K45" s="65"/>
      <c r="L45" s="65"/>
      <c r="M45" s="65"/>
      <c r="N45" s="65"/>
      <c r="O45" s="65"/>
      <c r="P45" s="65"/>
      <c r="Q45" s="65"/>
    </row>
    <row r="46" spans="2:17" s="52" customFormat="1" ht="15">
      <c r="B46" s="48">
        <f>IF(G46="Online Sources","",1)</f>
        <v>1</v>
      </c>
      <c r="C46" s="48" t="s">
        <v>7</v>
      </c>
      <c r="D46" s="78">
        <f>IF(OR(D7="",D9=""),"",IF(AND(D7&lt;51,D9=3),9645,IF(AND(D7&lt;51,D9=4),7176,IF(AND(D7&lt;76,D9=4),7177,IF(AND(D7&lt;101,D9=3),9701,IF(AND(D7&lt;101,D9=4),7178,IF(AND(D7&lt;126,D9=4),7179,””)))))))</f>
        <v>7178</v>
      </c>
      <c r="E46" s="79"/>
      <c r="F46" s="62" t="s">
        <v>9</v>
      </c>
      <c r="G46" s="54" t="str">
        <f>IF(OR(D7="",D9=""),"",IF(D46=9645,"Tufflite IV Greenhouse Film, 24 x 65 ft.",IF(D46=9701,"Tufflite IV Greenhouse Film, 24 x 125 ft.",IF(D46=7176,"Tufflite IV Greenhouse Film, 28 x 65 ft.",IF(D46=7177,"Tufflite IV Greenhouse Film, 28 x 100 ft.",IF(D46=7178,"Tufflite IV Greenhouse Film, 28 x 125 ft.",IF(D46=7179,"Tufflite IV Greenhouse Film, 28 x 150 ft.","Online Sources")))))))</f>
        <v>Tufflite IV Greenhouse Film, 28 x 125 ft.</v>
      </c>
      <c r="H46" s="33">
        <f>IF(OR(D7="",D9=""),"",IF(D46=9645,198,IF(D46=9701,393,IF(D46=7176,229,IF(D46=7177,345,IF(D46=7178,435,IF(D46=7179,499,"")))))))</f>
        <v>435</v>
      </c>
      <c r="I46" s="33">
        <f>IF(B46="","",B46*H46)</f>
        <v>435</v>
      </c>
      <c r="K46" s="53"/>
      <c r="L46" s="53"/>
      <c r="M46" s="53"/>
      <c r="N46" s="53"/>
      <c r="O46" s="53"/>
      <c r="P46" s="53"/>
      <c r="Q46" s="53"/>
    </row>
    <row r="47" spans="2:17" s="55" customFormat="1" ht="15">
      <c r="B47" s="48">
        <f>IF(B48&gt;0,ROUNDUP((B48*2+6),0))</f>
        <v>58</v>
      </c>
      <c r="C47" s="48" t="s">
        <v>7</v>
      </c>
      <c r="D47" s="78">
        <v>7040</v>
      </c>
      <c r="E47" s="79"/>
      <c r="F47" s="49" t="s">
        <v>9</v>
      </c>
      <c r="G47" s="51" t="s">
        <v>66</v>
      </c>
      <c r="H47" s="33">
        <v>1.65</v>
      </c>
      <c r="I47" s="33">
        <f>IF(H47="","",B47*H47)</f>
        <v>95.69999999999999</v>
      </c>
      <c r="J47" s="52"/>
      <c r="K47" s="56"/>
      <c r="L47" s="57" t="s">
        <v>24</v>
      </c>
      <c r="M47" s="57" t="s">
        <v>25</v>
      </c>
      <c r="N47" s="57" t="s">
        <v>26</v>
      </c>
      <c r="O47" s="56"/>
      <c r="P47" s="56"/>
      <c r="Q47" s="56"/>
    </row>
    <row r="48" spans="2:17" s="55" customFormat="1" ht="15">
      <c r="B48" s="48">
        <f>IF(AND(B14="",B15="X",B16=""),ROUNDUP((D7*2+24*2+1)/8,0),ROUNDUP((D7*2+1)/8,0))</f>
        <v>26</v>
      </c>
      <c r="C48" s="48" t="s">
        <v>7</v>
      </c>
      <c r="D48" s="78">
        <v>7041</v>
      </c>
      <c r="E48" s="79"/>
      <c r="F48" s="49" t="s">
        <v>9</v>
      </c>
      <c r="G48" s="51" t="s">
        <v>67</v>
      </c>
      <c r="H48" s="33">
        <v>8.95</v>
      </c>
      <c r="I48" s="33">
        <f>IF(H48="","",B48*H48)</f>
        <v>232.7</v>
      </c>
      <c r="J48" s="52"/>
      <c r="K48" s="56"/>
      <c r="L48" s="57">
        <f>D6*25*2</f>
        <v>0</v>
      </c>
      <c r="M48" s="57">
        <f>15*2</f>
        <v>30</v>
      </c>
      <c r="N48" s="57">
        <f>D6*16*2</f>
        <v>0</v>
      </c>
      <c r="O48" s="56"/>
      <c r="P48" s="56"/>
      <c r="Q48" s="56"/>
    </row>
    <row r="49" spans="2:10" ht="15">
      <c r="B49" s="30">
        <f>ROUNDUP((B48*8/1.5)/100,0)</f>
        <v>2</v>
      </c>
      <c r="C49" s="46" t="s">
        <v>7</v>
      </c>
      <c r="D49" s="78">
        <v>2520</v>
      </c>
      <c r="E49" s="79"/>
      <c r="F49" s="62" t="s">
        <v>38</v>
      </c>
      <c r="G49" s="47" t="s">
        <v>58</v>
      </c>
      <c r="H49" s="32">
        <v>2.92</v>
      </c>
      <c r="I49" s="33">
        <f>IF(H49="","",B49*H49)</f>
        <v>5.84</v>
      </c>
      <c r="J49" s="52" t="s">
        <v>11</v>
      </c>
    </row>
    <row r="50" spans="2:17" s="64" customFormat="1" ht="13.5">
      <c r="B50" s="87" t="s">
        <v>53</v>
      </c>
      <c r="C50" s="88"/>
      <c r="D50" s="88"/>
      <c r="E50" s="88"/>
      <c r="F50" s="88"/>
      <c r="G50" s="93" t="s">
        <v>56</v>
      </c>
      <c r="H50" s="93"/>
      <c r="I50" s="63">
        <f>SUM(I51:I58)</f>
        <v>73.75000000000001</v>
      </c>
      <c r="K50" s="65"/>
      <c r="L50" s="65"/>
      <c r="M50" s="65"/>
      <c r="N50" s="65"/>
      <c r="O50" s="65"/>
      <c r="P50" s="65"/>
      <c r="Q50" s="65"/>
    </row>
    <row r="51" spans="2:17" s="52" customFormat="1" ht="15">
      <c r="B51" s="48">
        <f>IF(AND(B14="X",B15="",B16=""),5,"")</f>
        <v>5</v>
      </c>
      <c r="C51" s="48" t="str">
        <f>IF(AND(B14="X",B15="",B16=""),"each","")</f>
        <v>each</v>
      </c>
      <c r="D51" s="84">
        <f>IF(AND(B14="X",B15="",B16=""),181697,"")</f>
        <v>181697</v>
      </c>
      <c r="E51" s="85"/>
      <c r="F51" s="59" t="str">
        <f>IF(AND(B14="X",B15="",B16=""),"Home Depot","")</f>
        <v>Home Depot</v>
      </c>
      <c r="G51" s="50" t="str">
        <f>IF(AND(B14="X",B15="",B16=""),"10 ft length of 1-3/8 in. fence top rail for scissor doors","")</f>
        <v>10 ft length of 1-3/8 in. fence top rail for scissor doors</v>
      </c>
      <c r="H51" s="33">
        <f>IF(AND(B14="X",B15="",B16=""),11.31,"")</f>
        <v>11.31</v>
      </c>
      <c r="I51" s="33">
        <f aca="true" t="shared" si="1" ref="I51:I58">IF(H51="","",B51*H51)</f>
        <v>56.550000000000004</v>
      </c>
      <c r="J51" s="52" t="s">
        <v>11</v>
      </c>
      <c r="K51" s="58"/>
      <c r="L51" s="58"/>
      <c r="M51" s="58"/>
      <c r="N51" s="53"/>
      <c r="O51" s="53"/>
      <c r="P51" s="53"/>
      <c r="Q51" s="53"/>
    </row>
    <row r="52" spans="2:17" s="52" customFormat="1" ht="15">
      <c r="B52" s="48">
        <f>IF(AND(B14="X",B15="",B16=""),4,"")</f>
        <v>4</v>
      </c>
      <c r="C52" s="61" t="str">
        <f>IF(AND(B14="X",B15="",B16=""),"each","")</f>
        <v>each</v>
      </c>
      <c r="D52" s="84" t="str">
        <f>IF(AND(B14="X",B15="",B16=""),"BB13","")</f>
        <v>BB13</v>
      </c>
      <c r="E52" s="85"/>
      <c r="F52" s="59" t="str">
        <f>IF(AND(B14="X",B15="",B16=""),"Chain Link Fittings","")</f>
        <v>Chain Link Fittings</v>
      </c>
      <c r="G52" s="51" t="str">
        <f>IF(AND(B14="X",B15="",B16=""),"1-3/8 in. brace band","")</f>
        <v>1-3/8 in. brace band</v>
      </c>
      <c r="H52" s="60">
        <f>IF(AND(B14="X",B15="",B16=""),0.3,"")</f>
        <v>0.3</v>
      </c>
      <c r="I52" s="33">
        <f t="shared" si="1"/>
        <v>1.2</v>
      </c>
      <c r="J52" s="52" t="s">
        <v>11</v>
      </c>
      <c r="K52" s="58"/>
      <c r="L52" s="58"/>
      <c r="M52" s="58"/>
      <c r="N52" s="53"/>
      <c r="O52" s="53"/>
      <c r="P52" s="53"/>
      <c r="Q52" s="53"/>
    </row>
    <row r="53" spans="2:17" s="52" customFormat="1" ht="15">
      <c r="B53" s="48">
        <f>IF(AND(B14="X",B15="",B16=""),4,"")</f>
        <v>4</v>
      </c>
      <c r="C53" s="61" t="str">
        <f>IF(AND(B14="X",B15="",B16=""),"each","")</f>
        <v>each</v>
      </c>
      <c r="D53" s="84">
        <f>IF(AND(B14="X",B15="",B16=""),2753,"")</f>
        <v>2753</v>
      </c>
      <c r="E53" s="85"/>
      <c r="F53" s="59" t="str">
        <f>IF(AND(B14="X",B15="",B16=""),"www.boltdepot.com","")</f>
        <v>www.boltdepot.com</v>
      </c>
      <c r="G53" s="51" t="str">
        <f>IF(AND(B14="X",B15="",B16=""),"1/4 in. x 1.75 in. carriage bolt","")</f>
        <v>1/4 in. x 1.75 in. carriage bolt</v>
      </c>
      <c r="H53" s="60">
        <f>IF(AND(B14="X",B15="",B16=""),0.1,"")</f>
        <v>0.1</v>
      </c>
      <c r="I53" s="33">
        <f t="shared" si="1"/>
        <v>0.4</v>
      </c>
      <c r="J53" s="52" t="s">
        <v>11</v>
      </c>
      <c r="K53" s="58"/>
      <c r="L53" s="58"/>
      <c r="M53" s="58"/>
      <c r="N53" s="53"/>
      <c r="O53" s="53"/>
      <c r="P53" s="53"/>
      <c r="Q53" s="53"/>
    </row>
    <row r="54" spans="2:17" s="52" customFormat="1" ht="15">
      <c r="B54" s="48">
        <f>IF(AND(B14="X",B15="",B16=""),4,"")</f>
        <v>4</v>
      </c>
      <c r="C54" s="61" t="str">
        <f>IF(AND(B14="X",B15="",B16=""),"each","")</f>
        <v>each</v>
      </c>
      <c r="D54" s="84">
        <f>IF(AND(B14="X",B15="",B16=""),2648,"")</f>
        <v>2648</v>
      </c>
      <c r="E54" s="85"/>
      <c r="F54" s="59" t="str">
        <f>IF(AND(B14="X",B15="",B16=""),"www.boltdepot.com","")</f>
        <v>www.boltdepot.com</v>
      </c>
      <c r="G54" s="51" t="str">
        <f>IF(AND(B14="X",B15="",B16=""),"1/4 in. hex nut","")</f>
        <v>1/4 in. hex nut</v>
      </c>
      <c r="H54" s="60">
        <f>IF(AND(B14="X",B15="",B16=""),0.05,"")</f>
        <v>0.05</v>
      </c>
      <c r="I54" s="33">
        <f t="shared" si="1"/>
        <v>0.2</v>
      </c>
      <c r="J54" s="52" t="s">
        <v>11</v>
      </c>
      <c r="K54" s="58"/>
      <c r="L54" s="58"/>
      <c r="M54" s="58"/>
      <c r="N54" s="53"/>
      <c r="O54" s="53"/>
      <c r="P54" s="53"/>
      <c r="Q54" s="53"/>
    </row>
    <row r="55" spans="2:17" s="55" customFormat="1" ht="15">
      <c r="B55" s="48">
        <f>IF(AND(B14="X",B15="",B16=""),2,"")</f>
        <v>2</v>
      </c>
      <c r="C55" s="48" t="str">
        <f>IF(AND(B14="X",B15="",B16=""),"each","")</f>
        <v>each</v>
      </c>
      <c r="D55" s="84">
        <f>IF(AND(B14="X",B15="",B16=""),7035,"")</f>
        <v>7035</v>
      </c>
      <c r="E55" s="85"/>
      <c r="F55" s="59" t="str">
        <f>IF(AND(B14="X",B15="",B16=""),"Johnny's Selected Seeds","")</f>
        <v>Johnny's Selected Seeds</v>
      </c>
      <c r="G55" s="50" t="str">
        <f>IF(AND(B14="X",B15="",B16=""),"Snap Clamps for 1-3/8 in. Top-Rail, 10 pack","")</f>
        <v>Snap Clamps for 1-3/8 in. Top-Rail, 10 pack</v>
      </c>
      <c r="H55" s="33">
        <f>IF(AND(B14="X",B15="",B16=""),6.95,"")</f>
        <v>6.95</v>
      </c>
      <c r="I55" s="33">
        <f t="shared" si="1"/>
        <v>13.9</v>
      </c>
      <c r="J55" s="52"/>
      <c r="K55" s="56"/>
      <c r="L55" s="56"/>
      <c r="M55" s="56"/>
      <c r="N55" s="56"/>
      <c r="O55" s="56"/>
      <c r="P55" s="56"/>
      <c r="Q55" s="56"/>
    </row>
    <row r="56" spans="2:17" s="55" customFormat="1" ht="15">
      <c r="B56" s="48">
        <f>IF(AND(B14="X",B15="",B16=""),2,"")</f>
        <v>2</v>
      </c>
      <c r="C56" s="48" t="str">
        <f>IF(AND(B14="X",B15="",B16=""),"each","")</f>
        <v>each</v>
      </c>
      <c r="D56" s="82">
        <f>IF(AND(B14="X",B15="",B16=""),859,"")</f>
        <v>859</v>
      </c>
      <c r="E56" s="83"/>
      <c r="F56" s="59" t="str">
        <f>IF(AND(B14="X",B15="",B16=""),"www.boltdepot.com","")</f>
        <v>www.boltdepot.com</v>
      </c>
      <c r="G56" s="50" t="str">
        <f>IF(AND(B14="X",B15="",B16=""),"3/8 in. x 5 in. hex tap bolt (fully threaded)","")</f>
        <v>3/8 in. x 5 in. hex tap bolt (fully threaded)</v>
      </c>
      <c r="H56" s="33">
        <f>IF(AND(B14="X",B15="",B16=""),0.51,"")</f>
        <v>0.51</v>
      </c>
      <c r="I56" s="33">
        <f t="shared" si="1"/>
        <v>1.02</v>
      </c>
      <c r="J56" s="52" t="s">
        <v>11</v>
      </c>
      <c r="K56" s="56"/>
      <c r="L56" s="56"/>
      <c r="M56" s="56"/>
      <c r="N56" s="56"/>
      <c r="O56" s="56"/>
      <c r="P56" s="56"/>
      <c r="Q56" s="56"/>
    </row>
    <row r="57" spans="2:17" s="55" customFormat="1" ht="15">
      <c r="B57" s="48">
        <f>IF(AND(B14="X",B15="",B16=""),2,"")</f>
        <v>2</v>
      </c>
      <c r="C57" s="48" t="str">
        <f>IF(AND(B14="X",B15="",B16=""),"each","")</f>
        <v>each</v>
      </c>
      <c r="D57" s="82">
        <f>IF(AND(B14="X",B15="",B16=""),2662,"")</f>
        <v>2662</v>
      </c>
      <c r="E57" s="83"/>
      <c r="F57" s="59" t="str">
        <f>IF(AND(B14="X",B15="",B16=""),"www.boltdepot.com","")</f>
        <v>www.boltdepot.com</v>
      </c>
      <c r="G57" s="50" t="str">
        <f>IF(AND(B14="X",B15="",B16=""),"3/8 in. hex jam nut","")</f>
        <v>3/8 in. hex jam nut</v>
      </c>
      <c r="H57" s="33">
        <f>IF(AND(B14="X",B15="",B16=""),0.06,"")</f>
        <v>0.06</v>
      </c>
      <c r="I57" s="33">
        <f t="shared" si="1"/>
        <v>0.12</v>
      </c>
      <c r="J57" s="52" t="s">
        <v>11</v>
      </c>
      <c r="K57" s="56"/>
      <c r="L57" s="56"/>
      <c r="M57" s="56"/>
      <c r="N57" s="56"/>
      <c r="O57" s="56"/>
      <c r="P57" s="56"/>
      <c r="Q57" s="56"/>
    </row>
    <row r="58" spans="2:17" s="55" customFormat="1" ht="15">
      <c r="B58" s="48">
        <f>IF(AND(B14="X",B15="",B16=""),2,"")</f>
        <v>2</v>
      </c>
      <c r="C58" s="48" t="str">
        <f>IF(AND(B14="X",B15="",B16=""),"each","")</f>
        <v>each</v>
      </c>
      <c r="D58" s="82">
        <f>IF(AND(B14="X",B15="",B16=""),2691,"")</f>
        <v>2691</v>
      </c>
      <c r="E58" s="83"/>
      <c r="F58" s="59" t="str">
        <f>IF(AND(B14="X",B15="",B16=""),"www.boltdepot.com","")</f>
        <v>www.boltdepot.com</v>
      </c>
      <c r="G58" s="50" t="str">
        <f>IF(AND(B14="X",B15="",B16=""),"3/8 in. wing nut","")</f>
        <v>3/8 in. wing nut</v>
      </c>
      <c r="H58" s="33">
        <f>IF(AND(B14="X",B15="",B16=""),0.18,"")</f>
        <v>0.18</v>
      </c>
      <c r="I58" s="33">
        <f t="shared" si="1"/>
        <v>0.36</v>
      </c>
      <c r="J58" s="52" t="s">
        <v>11</v>
      </c>
      <c r="K58" s="56"/>
      <c r="L58" s="56"/>
      <c r="M58" s="56"/>
      <c r="N58" s="56"/>
      <c r="O58" s="56"/>
      <c r="P58" s="56"/>
      <c r="Q58" s="56"/>
    </row>
    <row r="59" spans="2:17" s="64" customFormat="1" ht="13.5">
      <c r="B59" s="87" t="s">
        <v>55</v>
      </c>
      <c r="C59" s="88"/>
      <c r="D59" s="88"/>
      <c r="E59" s="88"/>
      <c r="F59" s="88"/>
      <c r="G59" s="93" t="s">
        <v>56</v>
      </c>
      <c r="H59" s="93"/>
      <c r="I59" s="63">
        <f>SUM(I60:I70)</f>
        <v>0</v>
      </c>
      <c r="K59" s="65"/>
      <c r="L59" s="65"/>
      <c r="M59" s="65"/>
      <c r="N59" s="65"/>
      <c r="O59" s="65"/>
      <c r="P59" s="65"/>
      <c r="Q59" s="65"/>
    </row>
    <row r="60" spans="2:17" s="52" customFormat="1" ht="15">
      <c r="B60" s="48">
        <f>IF(AND(B14="",B15="x",B16=""),16,"")</f>
      </c>
      <c r="C60" s="48">
        <f>IF(AND(B14="",B15="x",B16=""),"each","")</f>
      </c>
      <c r="D60" s="80">
        <f>IF(AND(B14="",B15="x",B16=""),161640,"")</f>
      </c>
      <c r="E60" s="81"/>
      <c r="F60" s="59">
        <f>IF(AND(B14="",B15="x",B16=""),"Home Depot","")</f>
      </c>
      <c r="G60" s="50">
        <f>IF(AND(B14="",B15="x",B16=""),"2 in. x 4 in. x 8 ft. whitewood stud","")</f>
      </c>
      <c r="H60" s="60">
        <f>IF(AND(B14="",B15="x",B16=""),"$2.64","")</f>
      </c>
      <c r="I60" s="33">
        <f>IF(H60="","",B60*H60)</f>
      </c>
      <c r="J60" s="52" t="s">
        <v>11</v>
      </c>
      <c r="K60" s="58"/>
      <c r="L60" s="58"/>
      <c r="M60" s="58"/>
      <c r="N60" s="53"/>
      <c r="O60" s="53"/>
      <c r="P60" s="53"/>
      <c r="Q60" s="53"/>
    </row>
    <row r="61" spans="2:17" s="52" customFormat="1" ht="15">
      <c r="B61" s="48">
        <f>IF(AND(B14="",B15="x",B16=""),2,"")</f>
      </c>
      <c r="C61" s="48">
        <f>IF(AND(B14="",B15="x",B16=""),"each","")</f>
      </c>
      <c r="D61" s="80">
        <f>IF(AND(B14="",B15="x",B16=""),101697,"")</f>
      </c>
      <c r="E61" s="81"/>
      <c r="F61" s="59">
        <f>IF(AND(B14="",B15="x",B16=""),"Home Depot","")</f>
      </c>
      <c r="G61" s="50">
        <f>IF(AND(B14="",B15="x",B16=""),"26 in. x 8 ft. clear polycarbonate roofing panel","")</f>
      </c>
      <c r="H61" s="60">
        <f>IF(AND(B14="",B15="x",B16=""),"$21.62","")</f>
      </c>
      <c r="I61" s="33">
        <f aca="true" t="shared" si="2" ref="I61:I68">IF(H61="","",B61*H61)</f>
      </c>
      <c r="J61" s="52" t="s">
        <v>11</v>
      </c>
      <c r="K61" s="58"/>
      <c r="L61" s="58"/>
      <c r="M61" s="58"/>
      <c r="N61" s="53"/>
      <c r="O61" s="53"/>
      <c r="P61" s="53"/>
      <c r="Q61" s="53"/>
    </row>
    <row r="62" spans="2:17" s="52" customFormat="1" ht="15">
      <c r="B62" s="48">
        <f>IF(AND(B14="",B15="x",B16=""),16,"")</f>
      </c>
      <c r="C62" s="48">
        <f>IF(AND(B14="",B15="x",B16=""),"each","")</f>
      </c>
      <c r="D62" s="84">
        <f>IF(AND(B14="",B15="x",B16=""),2032,"")</f>
      </c>
      <c r="E62" s="85"/>
      <c r="F62" s="59">
        <f>IF(AND(B14="",B15="x",B16=""),"www.boltdepot.com","")</f>
      </c>
      <c r="G62" s="51">
        <f>IF(AND(B14="",B15="x",B16=""),"#10 x 4 in. wood screw","")</f>
      </c>
      <c r="H62" s="60">
        <f>IF(AND(B14="",B15="x",B16=""),"$0.24","")</f>
      </c>
      <c r="I62" s="33">
        <f t="shared" si="2"/>
      </c>
      <c r="J62" s="52" t="s">
        <v>11</v>
      </c>
      <c r="K62" s="58"/>
      <c r="L62" s="58"/>
      <c r="M62" s="58"/>
      <c r="N62" s="53"/>
      <c r="O62" s="53"/>
      <c r="P62" s="53"/>
      <c r="Q62" s="53"/>
    </row>
    <row r="63" spans="2:17" s="52" customFormat="1" ht="15">
      <c r="B63" s="48">
        <f>IF(AND(B14="",B15="x",B16=""),2,"")</f>
      </c>
      <c r="C63" s="48">
        <f>IF(AND(B14="",B15="x",B16=""),"each","")</f>
      </c>
      <c r="D63" s="84">
        <f>IF(AND(B14="",B15="x",B16=""),784261,"")</f>
      </c>
      <c r="E63" s="85"/>
      <c r="F63" s="59">
        <f>IF(AND(B14="",B15="x",B16=""),"Home Depot","")</f>
      </c>
      <c r="G63" s="51">
        <f>IF(AND(B14="",B15="x",B16=""),"1 in. x 4 in. x 8 ft. board","")</f>
      </c>
      <c r="H63" s="60">
        <f>IF(AND(B14="",B15="x",B16=""),"$5.58","")</f>
      </c>
      <c r="I63" s="33">
        <f t="shared" si="2"/>
      </c>
      <c r="J63" s="52" t="s">
        <v>11</v>
      </c>
      <c r="K63" s="58"/>
      <c r="L63" s="58"/>
      <c r="M63" s="58"/>
      <c r="N63" s="53"/>
      <c r="O63" s="53"/>
      <c r="P63" s="53"/>
      <c r="Q63" s="53"/>
    </row>
    <row r="64" spans="2:17" s="52" customFormat="1" ht="15">
      <c r="B64" s="48">
        <f>IF(AND(B14="",B15="x",B16=""),4,"")</f>
      </c>
      <c r="C64" s="48">
        <f>IF(AND(B14="",B15="x",B16=""),"each","")</f>
      </c>
      <c r="D64" s="84">
        <f>IF(AND(B14="",B15="x",B16=""),237042,"")</f>
      </c>
      <c r="E64" s="85"/>
      <c r="F64" s="59">
        <f>IF(AND(B14="",B15="x",B16=""),"Home Depot","")</f>
      </c>
      <c r="G64" s="51">
        <f>IF(AND(B14="",B15="x",B16=""),"3 in. door hinge (with screws) ","")</f>
      </c>
      <c r="H64" s="60">
        <f>IF(AND(B14="",B15="x",B16=""),"$2.17","")</f>
      </c>
      <c r="I64" s="33">
        <f t="shared" si="2"/>
      </c>
      <c r="J64" s="52" t="s">
        <v>11</v>
      </c>
      <c r="K64" s="58"/>
      <c r="L64" s="58"/>
      <c r="M64" s="58"/>
      <c r="N64" s="53"/>
      <c r="O64" s="53"/>
      <c r="P64" s="53"/>
      <c r="Q64" s="53"/>
    </row>
    <row r="65" spans="2:17" s="52" customFormat="1" ht="15">
      <c r="B65" s="48">
        <f>IF(AND(B14="",B15="x",B16=""),2,"")</f>
      </c>
      <c r="C65" s="48">
        <f>IF(AND(B14="",B15="x",B16=""),"each","")</f>
      </c>
      <c r="D65" s="84">
        <f>IF(AND(B14="",B15="x",B16=""),241725,"")</f>
      </c>
      <c r="E65" s="85"/>
      <c r="F65" s="59">
        <f>IF(AND(B14="",B15="x",B16=""),"Home Depot","")</f>
      </c>
      <c r="G65" s="51">
        <f>IF(AND(B14="",B15="x",B16=""),"5.75 in. zinc plated door pull (with screws)","")</f>
      </c>
      <c r="H65" s="60">
        <f>IF(AND(B14="",B15="x",B16=""),"$3.67","")</f>
      </c>
      <c r="I65" s="33">
        <f t="shared" si="2"/>
      </c>
      <c r="J65" s="52" t="s">
        <v>11</v>
      </c>
      <c r="K65" s="58"/>
      <c r="L65" s="58"/>
      <c r="M65" s="58"/>
      <c r="N65" s="53"/>
      <c r="O65" s="53"/>
      <c r="P65" s="53"/>
      <c r="Q65" s="53"/>
    </row>
    <row r="66" spans="2:17" s="52" customFormat="1" ht="15">
      <c r="B66" s="48">
        <f>IF(AND(B14="",B15="x",B16=""),2,"")</f>
      </c>
      <c r="C66" s="48">
        <f>IF(AND(B14="",B15="x",B16=""),"each","")</f>
      </c>
      <c r="D66" s="84">
        <f>IF(AND(B14="",B15="x",B16=""),474206,"")</f>
      </c>
      <c r="E66" s="85"/>
      <c r="F66" s="59">
        <f>IF(AND(B14="",B15="x",B16=""),"Home Depot","")</f>
      </c>
      <c r="G66" s="51">
        <f>IF(AND(B14="",B15="x",B16=""),"6 in. zinc plated hook-and-eye latch","")</f>
      </c>
      <c r="H66" s="60">
        <f>IF(AND(B14="",B15="x",B16=""),"$3.87","")</f>
      </c>
      <c r="I66" s="33">
        <f t="shared" si="2"/>
      </c>
      <c r="J66" s="52" t="s">
        <v>11</v>
      </c>
      <c r="K66" s="58"/>
      <c r="L66" s="58"/>
      <c r="M66" s="58"/>
      <c r="N66" s="53"/>
      <c r="O66" s="53"/>
      <c r="P66" s="53"/>
      <c r="Q66" s="53"/>
    </row>
    <row r="67" spans="2:17" s="52" customFormat="1" ht="15">
      <c r="B67" s="48">
        <f>IF(AND(B14="",B15="x",B16=""),2,"")</f>
      </c>
      <c r="C67" s="48">
        <f>IF(AND(B14="",B15="x",B16=""),"each","")</f>
      </c>
      <c r="D67" s="84">
        <f>IF(AND(B14="",B15="x",B16=""),161756,"")</f>
      </c>
      <c r="E67" s="85"/>
      <c r="F67" s="59">
        <f>IF(AND(B14="",B15="x",B16=""),"Home Depot","")</f>
      </c>
      <c r="G67" s="51">
        <f>IF(AND(B14="",B15="x",B16=""),"2 in. x 6 in. x 12 ft. spruce/pine/fir board","")</f>
      </c>
      <c r="H67" s="60">
        <f>IF(AND(B14="",B15="x",B16=""),"$7.47","")</f>
      </c>
      <c r="I67" s="33">
        <f t="shared" si="2"/>
      </c>
      <c r="J67" s="52" t="s">
        <v>11</v>
      </c>
      <c r="K67" s="58"/>
      <c r="L67" s="58"/>
      <c r="M67" s="58"/>
      <c r="N67" s="53"/>
      <c r="O67" s="53"/>
      <c r="P67" s="53"/>
      <c r="Q67" s="53"/>
    </row>
    <row r="68" spans="2:17" s="52" customFormat="1" ht="15">
      <c r="B68" s="48">
        <f>IF(AND(B14="",B15="x",B16=""),4,"")</f>
      </c>
      <c r="C68" s="48">
        <f>IF(AND(B14="",B15="x",B16=""),"each","")</f>
      </c>
      <c r="D68" s="84">
        <f>IF(AND(B14="",B15="x",B16=""),2760,"")</f>
      </c>
      <c r="E68" s="85"/>
      <c r="F68" s="59">
        <f>IF(AND(B14="",B15="x",B16=""),"www.boltdepot.com","")</f>
      </c>
      <c r="G68" s="51">
        <f>IF(AND(B14="",B15="x",B16=""),"1/4 in. x 4 in. carriage bolt","")</f>
      </c>
      <c r="H68" s="60">
        <f>IF(AND(B14="",B15="x",B16=""),"$0.18","")</f>
      </c>
      <c r="I68" s="33">
        <f t="shared" si="2"/>
      </c>
      <c r="J68" s="52" t="s">
        <v>11</v>
      </c>
      <c r="K68" s="58"/>
      <c r="L68" s="58"/>
      <c r="M68" s="58"/>
      <c r="N68" s="53"/>
      <c r="O68" s="53"/>
      <c r="P68" s="53"/>
      <c r="Q68" s="53"/>
    </row>
    <row r="69" spans="2:17" s="52" customFormat="1" ht="15">
      <c r="B69" s="61">
        <f>IF(AND(B14="",B15="x",B16=""),4,"")</f>
      </c>
      <c r="C69" s="61">
        <f>IF(AND(B14="",B15="x",B16=""),"each","")</f>
      </c>
      <c r="D69" s="84">
        <f>IF(AND(B14="",B15="x",B16=""),2648,"")</f>
      </c>
      <c r="E69" s="85"/>
      <c r="F69" s="59">
        <f>IF(AND(B14="",B15="x",B16=""),"www.boltdepot.com","")</f>
      </c>
      <c r="G69" s="51">
        <f>IF(AND(B14="",B15="x",B16=""),"1/4 in. hex nut","")</f>
      </c>
      <c r="H69" s="60">
        <f>IF(AND(B14="",B15="x",B16=""),"$0.05","")</f>
      </c>
      <c r="I69" s="33">
        <f>IF(H69="","",B69*H69)</f>
      </c>
      <c r="J69" s="52" t="s">
        <v>11</v>
      </c>
      <c r="K69" s="58"/>
      <c r="L69" s="58"/>
      <c r="M69" s="58"/>
      <c r="N69" s="53"/>
      <c r="O69" s="53"/>
      <c r="P69" s="53"/>
      <c r="Q69" s="53"/>
    </row>
    <row r="70" spans="2:17" s="52" customFormat="1" ht="15">
      <c r="B70" s="61">
        <f>IF(AND(B14="",B15="x",B16=""),1,"")</f>
      </c>
      <c r="C70" s="61">
        <f>IF(AND(B14="",B15="x",B16=""),"each","")</f>
      </c>
      <c r="D70" s="84">
        <f>IF(AND(B14="",B15="x",B16=""),134228,"")</f>
      </c>
      <c r="E70" s="85"/>
      <c r="F70" s="59">
        <f>IF(AND(B14="",B15="x",B16=""),"Home Depot","")</f>
      </c>
      <c r="G70" s="51">
        <f>IF(AND(B14="",B15="x",B16=""),"#8 x 2-1/2 in. wood screws, 1 lb. box","")</f>
      </c>
      <c r="H70" s="60">
        <f>IF(AND(B14="",B15="x",B16=""),"$8.47","")</f>
      </c>
      <c r="I70" s="33">
        <f>IF(H70="","",B70*H70)</f>
      </c>
      <c r="J70" s="52" t="s">
        <v>11</v>
      </c>
      <c r="K70" s="58"/>
      <c r="L70" s="58"/>
      <c r="M70" s="58"/>
      <c r="N70" s="53"/>
      <c r="O70" s="53"/>
      <c r="P70" s="53"/>
      <c r="Q70" s="53"/>
    </row>
    <row r="71" spans="2:17" s="64" customFormat="1" ht="13.5">
      <c r="B71" s="87" t="s">
        <v>48</v>
      </c>
      <c r="C71" s="88"/>
      <c r="D71" s="88"/>
      <c r="E71" s="88"/>
      <c r="F71" s="88"/>
      <c r="G71" s="93" t="s">
        <v>56</v>
      </c>
      <c r="H71" s="93"/>
      <c r="I71" s="63">
        <f>SUM(I72:I79)</f>
        <v>480.9</v>
      </c>
      <c r="K71" s="65"/>
      <c r="L71" s="65"/>
      <c r="M71" s="65"/>
      <c r="N71" s="65"/>
      <c r="O71" s="65"/>
      <c r="P71" s="65"/>
      <c r="Q71" s="65"/>
    </row>
    <row r="72" spans="2:17" s="52" customFormat="1" ht="15">
      <c r="B72" s="48">
        <f>IF(AND(B18="X",B19="",B20=""),D7*2/10+2,"")</f>
      </c>
      <c r="C72" s="48">
        <f>IF(AND(B18="X",B19="",B20=""),"each","")</f>
      </c>
      <c r="D72" s="82">
        <f>IF(AND(B18="X",B19="",B20=""),203106,"")</f>
      </c>
      <c r="E72" s="83"/>
      <c r="F72" s="59">
        <f>IF(AND(B18="X",B19="",B20=""),"Home Depot","")</f>
      </c>
      <c r="G72" s="51">
        <f>IF(AND(B18="X",B19="",B20=""),"10 ft length of 1/2 in. EMT for roll-up sides","")</f>
      </c>
      <c r="H72" s="33">
        <f>IF(AND(B18="X",B19="",B20=""),2.44,"")</f>
      </c>
      <c r="I72" s="33">
        <f>IF(H72="","",B72*H72)</f>
      </c>
      <c r="J72" s="52" t="s">
        <v>11</v>
      </c>
      <c r="K72" s="53"/>
      <c r="L72" s="53"/>
      <c r="M72" s="53"/>
      <c r="N72" s="53"/>
      <c r="O72" s="53"/>
      <c r="P72" s="53"/>
      <c r="Q72" s="53"/>
    </row>
    <row r="73" spans="2:10" ht="15">
      <c r="B73" s="30">
        <f>IF(AND(B18="X",B19="",B20=""),2,"")</f>
      </c>
      <c r="C73" s="30">
        <f>IF(AND(B18="X",B19="",B20=""),"each","")</f>
      </c>
      <c r="D73" s="78">
        <f>IF(AND(B18="X",B19="",B20=""),103659,"")</f>
      </c>
      <c r="E73" s="79"/>
      <c r="F73" s="68">
        <f>IF(AND(B18="X",B19="",B20=""),"Home Depot","")</f>
      </c>
      <c r="G73" s="44">
        <f>IF(AND(B18="X",B19="",B20=""),"1/2 in. iron water pipe T fitting","")</f>
      </c>
      <c r="H73" s="32">
        <f>IF(AND(B18="X",B19="",B20=""),2.1,"")</f>
      </c>
      <c r="I73" s="33">
        <f>IF(H73="","",B73*H73)</f>
      </c>
      <c r="J73" s="4" t="s">
        <v>11</v>
      </c>
    </row>
    <row r="74" spans="2:10" ht="15">
      <c r="B74" s="30">
        <f>IF(AND(B18="",B19="x",B20=""),D7*2/10+2,"")</f>
        <v>22</v>
      </c>
      <c r="C74" s="30" t="str">
        <f>IF(AND(B18="",B19="x",B20=""),"each","")</f>
        <v>each</v>
      </c>
      <c r="D74" s="80">
        <f>IF(AND(B18="",B19="x",B20=""),203114,"")</f>
        <v>203114</v>
      </c>
      <c r="E74" s="81"/>
      <c r="F74" s="68" t="str">
        <f>IF(AND(B18="",B19="x",B20=""),"Home Depot","")</f>
        <v>Home Depot</v>
      </c>
      <c r="G74" s="44" t="str">
        <f>IF(AND(B18="",B19="x",B20=""),"10 ft length of 3/4 in. EMT for roll-up sides","")</f>
        <v>10 ft length of 3/4 in. EMT for roll-up sides</v>
      </c>
      <c r="H74" s="32">
        <f>IF(AND(B18="",B19="x",B20=""),3.87,"")</f>
        <v>3.87</v>
      </c>
      <c r="I74" s="33">
        <f aca="true" t="shared" si="3" ref="I74:I79">IF(H74="","",B74*H74)</f>
        <v>85.14</v>
      </c>
      <c r="J74" s="4" t="s">
        <v>11</v>
      </c>
    </row>
    <row r="75" spans="2:10" ht="15">
      <c r="B75" s="34">
        <f>IF(AND(B18="",B19="x",B20=""),ROUNDUP(B74/5,0),"")</f>
        <v>5</v>
      </c>
      <c r="C75" s="34" t="str">
        <f>IF(AND(B18="",B19="x",B20=""),"each","")</f>
        <v>each</v>
      </c>
      <c r="D75" s="80">
        <f>IF(AND(B18="",B19="x",B20=""),403636,"")</f>
        <v>403636</v>
      </c>
      <c r="E75" s="81"/>
      <c r="F75" s="68" t="str">
        <f>IF(AND(B18="",B19="x",B20=""),"Home Depot","")</f>
        <v>Home Depot</v>
      </c>
      <c r="G75" s="44" t="str">
        <f>IF(AND(B18="",B19="x",B20=""),"3/4 in. EMT compression fittings for roll-ups, 5 pack","")</f>
        <v>3/4 in. EMT compression fittings for roll-ups, 5 pack</v>
      </c>
      <c r="H75" s="45">
        <f>IF(AND(B18="",B19="x",B20=""),3.1,"")</f>
        <v>3.1</v>
      </c>
      <c r="I75" s="33">
        <f t="shared" si="3"/>
        <v>15.5</v>
      </c>
      <c r="J75" s="52" t="s">
        <v>11</v>
      </c>
    </row>
    <row r="76" spans="2:10" ht="15">
      <c r="B76" s="34">
        <f>IF(AND(B18="",B19="x",B20=""),2,"")</f>
        <v>2</v>
      </c>
      <c r="C76" s="34" t="str">
        <f>IF(AND(B18="",B19="x",B20=""),"each","")</f>
        <v>each</v>
      </c>
      <c r="D76" s="82">
        <f>IF(AND(B18="",B19="x",B20=""),7033,"")</f>
        <v>7033</v>
      </c>
      <c r="E76" s="83"/>
      <c r="F76" s="68" t="str">
        <f>IF(AND(B18="",B19="x",B20=""),"Johnny's Selected Seeds","")</f>
        <v>Johnny's Selected Seeds</v>
      </c>
      <c r="G76" s="44" t="str">
        <f>IF(AND(B18="",B19="x",B20=""),"Sidewall Hand Crank","")</f>
        <v>Sidewall Hand Crank</v>
      </c>
      <c r="H76" s="45">
        <f>IF(AND(B18="",B19="x",B20=""),149,"")</f>
        <v>149</v>
      </c>
      <c r="I76" s="33">
        <f t="shared" si="3"/>
        <v>298</v>
      </c>
      <c r="J76" s="52"/>
    </row>
    <row r="77" spans="2:10" ht="15">
      <c r="B77" s="34">
        <f>IF(AND(B18="",B19="x",B20=""),ROUNDUP(D7/10,0),"")</f>
        <v>10</v>
      </c>
      <c r="C77" s="34" t="str">
        <f>IF(AND(B18="",B19="x",B20=""),"each","")</f>
        <v>each</v>
      </c>
      <c r="D77" s="82">
        <f>IF(AND(B18="",B19="x",B20=""),9150,"")</f>
        <v>9150</v>
      </c>
      <c r="E77" s="83"/>
      <c r="F77" s="68" t="str">
        <f>IF(AND(B18="",B19="x",B20=""),"Johnny's Selected Seeds","")</f>
        <v>Johnny's Selected Seeds</v>
      </c>
      <c r="G77" s="44" t="str">
        <f>IF(AND(B18="",B19="x",B20=""),"Snap Clamps for ¾ in. EMT, 10 pack","")</f>
        <v>Snap Clamps for ¾ in. EMT, 10 pack</v>
      </c>
      <c r="H77" s="45">
        <f>IF(AND(B18="",B19="x",B20=""),2,"")</f>
        <v>2</v>
      </c>
      <c r="I77" s="33">
        <f t="shared" si="3"/>
        <v>20</v>
      </c>
      <c r="J77" s="52"/>
    </row>
    <row r="78" spans="2:10" ht="15">
      <c r="B78" s="34">
        <f>IF(AND(B18="",B19="x",B20=""),ROUNDUP(4*D7/1000,0),"")</f>
        <v>1</v>
      </c>
      <c r="C78" s="34" t="str">
        <f>IF(AND(B18="",B19="x",B20=""),"each","")</f>
        <v>each</v>
      </c>
      <c r="D78" s="80">
        <f>IF(AND(B18="",B19="x",B20=""),1,"")</f>
        <v>1</v>
      </c>
      <c r="E78" s="81"/>
      <c r="F78" s="62" t="str">
        <f>IF(AND(B18="",B19="x",B20=""),"www.parachute-cord.com","")</f>
        <v>www.parachute-cord.com</v>
      </c>
      <c r="G78" s="44" t="str">
        <f>IF(AND(B18="",B19="x",B20=""),"1000 ft. spool of white parachute cord for lacing","")</f>
        <v>1000 ft. spool of white parachute cord for lacing</v>
      </c>
      <c r="H78" s="45">
        <f>IF(AND(B18="",B19="x",B20=""),38.95,"")</f>
        <v>38.95</v>
      </c>
      <c r="I78" s="33">
        <f t="shared" si="3"/>
        <v>38.95</v>
      </c>
      <c r="J78" s="52" t="s">
        <v>11</v>
      </c>
    </row>
    <row r="79" spans="2:10" ht="15">
      <c r="B79" s="34">
        <f>IF(AND(B18="",B19="x",B20=""),ROUNDUP(2*D12/25,0),"")</f>
        <v>3</v>
      </c>
      <c r="C79" s="34" t="str">
        <f>IF(AND(B18="",B19="x",B20=""),"each","")</f>
        <v>each</v>
      </c>
      <c r="D79" s="80">
        <f>IF(AND(B18="",B19="x",B20=""),727401,"")</f>
        <v>727401</v>
      </c>
      <c r="E79" s="81"/>
      <c r="F79" s="68" t="str">
        <f>IF(AND(B18="",B19="x",B20=""),"Home Depot","")</f>
        <v>Home Depot</v>
      </c>
      <c r="G79" s="44" t="str">
        <f>IF(AND(B18="",B19="x",B20=""),"#4 zinc plated steel screw eyes, pack of 25","")</f>
        <v>#4 zinc plated steel screw eyes, pack of 25</v>
      </c>
      <c r="H79" s="45">
        <f>IF(AND(B18="",B19="x",B20=""),7.77,"")</f>
        <v>7.77</v>
      </c>
      <c r="I79" s="33">
        <f t="shared" si="3"/>
        <v>23.31</v>
      </c>
      <c r="J79" s="52" t="s">
        <v>11</v>
      </c>
    </row>
    <row r="80" spans="2:17" s="64" customFormat="1" ht="13.5">
      <c r="B80" s="87" t="s">
        <v>50</v>
      </c>
      <c r="C80" s="88"/>
      <c r="D80" s="88"/>
      <c r="E80" s="88"/>
      <c r="F80" s="88"/>
      <c r="G80" s="93" t="s">
        <v>56</v>
      </c>
      <c r="H80" s="93"/>
      <c r="I80" s="63">
        <f>SUM(I81:I85)</f>
        <v>51.58999999999999</v>
      </c>
      <c r="K80" s="65"/>
      <c r="L80" s="65"/>
      <c r="M80" s="65"/>
      <c r="N80" s="65"/>
      <c r="O80" s="65"/>
      <c r="P80" s="65"/>
      <c r="Q80" s="65"/>
    </row>
    <row r="81" spans="2:10" ht="15">
      <c r="B81" s="34">
        <f>IF(AND(B22&gt;0,B23=""),B22*D12,"")</f>
        <v>52</v>
      </c>
      <c r="C81" s="34" t="str">
        <f>IF(AND(B22&gt;0,B23=""),"each","")</f>
        <v>each</v>
      </c>
      <c r="D81" s="80" t="str">
        <f>IF(AND(B22&gt;0,B23=""),"BB13","")</f>
        <v>BB13</v>
      </c>
      <c r="E81" s="81"/>
      <c r="F81" s="68" t="str">
        <f>IF(AND(B22&gt;0,B23=""),"Chain Link Fittings","")</f>
        <v>Chain Link Fittings</v>
      </c>
      <c r="G81" s="44" t="str">
        <f>IF(AND(B22&gt;0,B23=""),"1-3/8 in. brace band","")</f>
        <v>1-3/8 in. brace band</v>
      </c>
      <c r="H81" s="45">
        <f>IF(AND(B22&gt;0,B23=""),0.3,"")</f>
        <v>0.3</v>
      </c>
      <c r="I81" s="33">
        <f>IF(H81="","",B81*H81)</f>
        <v>15.6</v>
      </c>
      <c r="J81" s="52" t="s">
        <v>11</v>
      </c>
    </row>
    <row r="82" spans="2:10" ht="15">
      <c r="B82" s="34">
        <f>IF(AND(B22&gt;0,B23=""),ROUNDUP(2*B81/100,0),"")</f>
        <v>2</v>
      </c>
      <c r="C82" s="34" t="str">
        <f>IF(AND(B22&gt;0,B23=""),"each","")</f>
        <v>each</v>
      </c>
      <c r="D82" s="80">
        <f>IF(AND(B22&gt;0,B23=""),2405,"")</f>
        <v>2405</v>
      </c>
      <c r="E82" s="81"/>
      <c r="F82" s="68" t="str">
        <f>IF(AND(B22&gt;0,B23=""),"www.boltdepot.com","")</f>
        <v>www.boltdepot.com</v>
      </c>
      <c r="G82" s="44" t="str">
        <f>IF(AND(B22&gt;0,B23=""),"#10 x 3/4 in. hex-head self-tapping screws, box of 100","")</f>
        <v>#10 x 3/4 in. hex-head self-tapping screws, box of 100</v>
      </c>
      <c r="H82" s="45">
        <f>IF(AND(B22&gt;0,B23=""),3.83,"")</f>
        <v>3.83</v>
      </c>
      <c r="I82" s="33">
        <f>IF(H82="","",B82*H82)</f>
        <v>7.66</v>
      </c>
      <c r="J82" s="52" t="s">
        <v>11</v>
      </c>
    </row>
    <row r="83" spans="2:10" ht="15">
      <c r="B83" s="34">
        <f>IF(AND(B22&gt;0,B23=""),B22,"")</f>
        <v>2</v>
      </c>
      <c r="C83" s="34" t="str">
        <f>IF(AND(B22&gt;0,B23=""),"each","")</f>
        <v>each</v>
      </c>
      <c r="D83" s="80">
        <f>IF(AND(B22&gt;0,B23=""),372074,"")</f>
        <v>372074</v>
      </c>
      <c r="E83" s="81"/>
      <c r="F83" s="68" t="str">
        <f>IF(AND(B22&gt;0,B23=""),"Home Depot","")</f>
        <v>Home Depot</v>
      </c>
      <c r="G83" s="44" t="str">
        <f>IF(AND(B22&gt;0,B23=""),"3/8 x 8 in. hook and eye turnbuckle","")</f>
        <v>3/8 x 8 in. hook and eye turnbuckle</v>
      </c>
      <c r="H83" s="45">
        <f>IF(AND(B22&gt;0,B23=""),8.42,"")</f>
        <v>8.42</v>
      </c>
      <c r="I83" s="33">
        <f>IF(H83="","",B83*H83)</f>
        <v>16.84</v>
      </c>
      <c r="J83" s="52" t="s">
        <v>11</v>
      </c>
    </row>
    <row r="84" spans="2:10" ht="15">
      <c r="B84" s="34">
        <f>IF(D84=9604,ROUNDUP(B22*(D7+5)/60,0),IF(D84=9725,ROUNDUP(B22*(D7+5)/550,0),""))</f>
        <v>1</v>
      </c>
      <c r="C84" s="34" t="str">
        <f>IF(AND(B22&gt;0,B23=""),"each","")</f>
        <v>each</v>
      </c>
      <c r="D84" s="80">
        <f>IF(AND(B22&gt;0,B23="",B22*D7&lt;50),9604,IF(AND(B22&gt;0,B23="",B22*D7&gt;49),9725,""))</f>
        <v>9725</v>
      </c>
      <c r="E84" s="81"/>
      <c r="F84" s="68" t="str">
        <f>IF(AND(B22&gt;0,B23=""),"Johnny's Selected Seeds","")</f>
        <v>Johnny's Selected Seeds</v>
      </c>
      <c r="G84" s="44" t="str">
        <f>IF(D84=9604,"#9 Wire, Coil of 60 ft.",IF(D84=9725,"#9 Wire, Coil of 550 ft.",""))</f>
        <v>#9 Wire, Coil of 550 ft.</v>
      </c>
      <c r="H84" s="45">
        <f>IF(AND(B22&gt;0,B23=""),3.83,"")</f>
        <v>3.83</v>
      </c>
      <c r="I84" s="33">
        <f>IF(H84="","",B84*H84)</f>
        <v>3.83</v>
      </c>
      <c r="J84" s="52"/>
    </row>
    <row r="85" spans="2:10" ht="15">
      <c r="B85" s="34">
        <f>IF(AND(B22&gt;0,B23=""),ROUNDUP(2*B81/100,0),"")</f>
        <v>2</v>
      </c>
      <c r="C85" s="34" t="str">
        <f>IF(AND(B22&gt;0,B23=""),"each","")</f>
        <v>each</v>
      </c>
      <c r="D85" s="80">
        <f>IF(AND(B22&gt;0,B23=""),2405,"")</f>
        <v>2405</v>
      </c>
      <c r="E85" s="81"/>
      <c r="F85" s="68" t="str">
        <f>IF(AND(B22&gt;0,B23=""),"www.boltdepot.com","")</f>
        <v>www.boltdepot.com</v>
      </c>
      <c r="G85" s="44" t="str">
        <f>IF(AND(B22&gt;0,B23=""),"#10 x 3/4 in. hex-head self-tapping screws, box of 100","")</f>
        <v>#10 x 3/4 in. hex-head self-tapping screws, box of 100</v>
      </c>
      <c r="H85" s="45">
        <f>IF(AND(B22&gt;0,B23=""),3.83,"")</f>
        <v>3.83</v>
      </c>
      <c r="I85" s="33">
        <f>IF(H85="","",B85*H85)</f>
        <v>7.66</v>
      </c>
      <c r="J85" s="52" t="s">
        <v>11</v>
      </c>
    </row>
    <row r="86" ht="6.75" customHeight="1"/>
    <row r="87" spans="2:9" ht="18" customHeight="1">
      <c r="B87" s="14" t="s">
        <v>14</v>
      </c>
      <c r="D87" s="26"/>
      <c r="E87" s="27"/>
      <c r="F87" s="7"/>
      <c r="G87" s="7"/>
      <c r="H87" s="12" t="s">
        <v>4</v>
      </c>
      <c r="I87" s="13">
        <f>SUM(I26+I29+I45+I50+I59+I71+I80)</f>
        <v>3110.3399999999997</v>
      </c>
    </row>
    <row r="88" spans="2:9" ht="6" customHeight="1">
      <c r="B88" s="14"/>
      <c r="E88" s="7"/>
      <c r="F88" s="7"/>
      <c r="G88" s="7"/>
      <c r="H88" s="8"/>
      <c r="I88" s="8"/>
    </row>
    <row r="89" spans="2:9" ht="15">
      <c r="B89" s="7" t="s">
        <v>20</v>
      </c>
      <c r="G89" s="7"/>
      <c r="H89" s="4"/>
      <c r="I89" s="4"/>
    </row>
    <row r="90" spans="2:9" ht="15">
      <c r="B90" s="14" t="s">
        <v>18</v>
      </c>
      <c r="G90" s="7"/>
      <c r="H90" s="8"/>
      <c r="I90" s="8"/>
    </row>
    <row r="91" spans="7:9" ht="15">
      <c r="G91" s="7"/>
      <c r="H91" s="8"/>
      <c r="I91" s="8"/>
    </row>
    <row r="92" spans="7:9" ht="15">
      <c r="G92" s="7"/>
      <c r="H92" s="8"/>
      <c r="I92" s="8"/>
    </row>
    <row r="93" spans="7:9" ht="15">
      <c r="G93" s="7"/>
      <c r="H93" s="8"/>
      <c r="I93" s="8"/>
    </row>
    <row r="94" spans="7:9" ht="15">
      <c r="G94" s="7"/>
      <c r="H94" s="8"/>
      <c r="I94" s="8"/>
    </row>
    <row r="95" spans="5:9" ht="15">
      <c r="E95" s="7"/>
      <c r="F95" s="7"/>
      <c r="G95" s="7"/>
      <c r="H95" s="8"/>
      <c r="I95" s="8"/>
    </row>
    <row r="96" spans="5:9" ht="15">
      <c r="E96" s="7"/>
      <c r="F96" s="7"/>
      <c r="G96" s="7"/>
      <c r="H96" s="8"/>
      <c r="I96" s="8"/>
    </row>
    <row r="97" spans="5:9" ht="15">
      <c r="E97" s="7"/>
      <c r="F97" s="7"/>
      <c r="G97" s="7"/>
      <c r="H97" s="8"/>
      <c r="I97" s="8"/>
    </row>
  </sheetData>
  <sheetProtection/>
  <mergeCells count="81">
    <mergeCell ref="D81:E81"/>
    <mergeCell ref="D83:E83"/>
    <mergeCell ref="D82:E82"/>
    <mergeCell ref="D84:E84"/>
    <mergeCell ref="D52:E52"/>
    <mergeCell ref="D53:E53"/>
    <mergeCell ref="D54:E54"/>
    <mergeCell ref="D56:E56"/>
    <mergeCell ref="D57:E57"/>
    <mergeCell ref="D77:E77"/>
    <mergeCell ref="B50:F50"/>
    <mergeCell ref="D55:E55"/>
    <mergeCell ref="D51:E51"/>
    <mergeCell ref="D58:E58"/>
    <mergeCell ref="D67:E67"/>
    <mergeCell ref="D68:E68"/>
    <mergeCell ref="G50:H50"/>
    <mergeCell ref="B71:F71"/>
    <mergeCell ref="G71:H71"/>
    <mergeCell ref="B80:F80"/>
    <mergeCell ref="G80:H80"/>
    <mergeCell ref="D74:E74"/>
    <mergeCell ref="D75:E75"/>
    <mergeCell ref="D76:E76"/>
    <mergeCell ref="D78:E78"/>
    <mergeCell ref="D79:E79"/>
    <mergeCell ref="D38:E38"/>
    <mergeCell ref="D41:E41"/>
    <mergeCell ref="D44:E44"/>
    <mergeCell ref="D33:E33"/>
    <mergeCell ref="D34:E34"/>
    <mergeCell ref="D31:E31"/>
    <mergeCell ref="D32:E32"/>
    <mergeCell ref="D73:E73"/>
    <mergeCell ref="D60:E60"/>
    <mergeCell ref="D61:E61"/>
    <mergeCell ref="D62:E62"/>
    <mergeCell ref="D63:E63"/>
    <mergeCell ref="D64:E64"/>
    <mergeCell ref="D72:E72"/>
    <mergeCell ref="D69:E69"/>
    <mergeCell ref="B3:I3"/>
    <mergeCell ref="B5:E5"/>
    <mergeCell ref="B11:C11"/>
    <mergeCell ref="F11:I11"/>
    <mergeCell ref="D11:E11"/>
    <mergeCell ref="B59:F59"/>
    <mergeCell ref="G59:H59"/>
    <mergeCell ref="D43:E43"/>
    <mergeCell ref="G22:G23"/>
    <mergeCell ref="G26:H26"/>
    <mergeCell ref="D37:E37"/>
    <mergeCell ref="D65:E65"/>
    <mergeCell ref="D66:E66"/>
    <mergeCell ref="D46:E46"/>
    <mergeCell ref="G18:G20"/>
    <mergeCell ref="G14:G16"/>
    <mergeCell ref="B29:F29"/>
    <mergeCell ref="G29:H29"/>
    <mergeCell ref="B45:F45"/>
    <mergeCell ref="G45:H45"/>
    <mergeCell ref="D85:E85"/>
    <mergeCell ref="D47:E47"/>
    <mergeCell ref="D48:E48"/>
    <mergeCell ref="D70:E70"/>
    <mergeCell ref="D27:E27"/>
    <mergeCell ref="B12:C12"/>
    <mergeCell ref="D40:E40"/>
    <mergeCell ref="D39:E39"/>
    <mergeCell ref="D42:E42"/>
    <mergeCell ref="D28:E28"/>
    <mergeCell ref="B2:I2"/>
    <mergeCell ref="B7:C7"/>
    <mergeCell ref="B9:C9"/>
    <mergeCell ref="D25:E25"/>
    <mergeCell ref="D49:E49"/>
    <mergeCell ref="D30:E30"/>
    <mergeCell ref="B8:C8"/>
    <mergeCell ref="B26:F26"/>
    <mergeCell ref="D35:E35"/>
    <mergeCell ref="D36:E36"/>
  </mergeCells>
  <hyperlinks>
    <hyperlink ref="D51:E51" r:id="rId1" display="http://www.homedepot.com/p/t/100322532?catalogId=10053&amp;langId=-1&amp;keyword=top+rail&amp;storeId=10051&amp;N=5yc1v&amp;R=100322532"/>
    <hyperlink ref="D62:E62" r:id="rId2" display="http://www.boltdepot.com/Product-Details.aspx?product=2032"/>
    <hyperlink ref="D63:E63" r:id="rId3" display="http://www.homedepot.com/p/Unbranded-1-in-x-4-in-x-8-ft-Premium-Cedar-Square-EdgeBoard-784261/202070415"/>
    <hyperlink ref="D64:E64" r:id="rId4" display="http://www.homedepot.com/p/Everbilt-3-in-Satin-Brass-Square-Corner-Door-Hinge-14989/202558080?N=5yc1vZc2ap"/>
    <hyperlink ref="D65:E65" r:id="rId5" display="http://www.homedepot.com/p/Everbilt-5-3-4-in-Zinc-Plated-Door-Pull-15181/202033999"/>
    <hyperlink ref="D66:E66" r:id="rId6" display="http://www.homedepot.com/p/Everbilt-6-in-Zinc-Plated-Hook-and-Eye-15335/202034263http:/www.homedepot.com/p/t/100322532?catalogId=10053&amp;langId=-1&amp;keyword=top+rail&amp;storeId=10051&amp;N=5yc1v&amp;R=100322532"/>
    <hyperlink ref="D67:E67" r:id="rId7" display="http://www.homedepot.com/p/Unbranded-2-in-x-6-in-x-12-ft-2-Better-Kiln-Dried-Heat-Treated-Spruce-Pine-Fir-Lumber-161756/100048001"/>
    <hyperlink ref="D68:E68" r:id="rId8" display="http://www.boltdepot.com/Product-Details.aspx?product=2760"/>
    <hyperlink ref="D60:E60" r:id="rId9" display="http://www.homedepot.com/p/Unbranded-2-in-x-4-in-x-96-in-Premium-Kiln-Dried-Whitewood-Stud-161640/202091220"/>
    <hyperlink ref="D61:E61" r:id="rId10" display="http://www.homedepot.com/p/Suntuf-26-in-x-8-ft-Clear-Polycarbonate-Roofing-Panel-101697/100021329"/>
    <hyperlink ref="D69:E69" r:id="rId11" display="http://www.boltdepot.com/Product-Details.aspx?product=2648"/>
    <hyperlink ref="D70:E70" r:id="rId12" display="http://www.homedepot.com/p/Grip-Rite-8-x-2-1-2-in-Coarse-Polymer-Plated-Steel-Bugle-Head-Phillips-Wood-Screws-1-lb-per-Box-PTN212S1/100173447"/>
    <hyperlink ref="D34:E34" r:id="rId13" display="http://www.boltdepot.com/Product-Details.aspx?product=2405"/>
    <hyperlink ref="D49:E49" r:id="rId14" display="http://www.boltdepot.com/Product-Details.aspx?product=2520"/>
    <hyperlink ref="D39:E39" r:id="rId15" display="http://www.homedepot.com/p/Unbranded-1-in-x-8-in-x-16-ft-Ledger-Board-234611/202527794"/>
    <hyperlink ref="D42:E42" r:id="rId16" display="http://www.boltdepot.com/Product-Details.aspx?product=7783"/>
    <hyperlink ref="D35:E35" r:id="rId17" display="http://www.boltdepot.com/Product-Details.aspx?product=12529"/>
    <hyperlink ref="D36:E36" r:id="rId18" display="http://www.boltdepot.com/Product-Details.aspx?product=2649"/>
    <hyperlink ref="D37:E37" r:id="rId19" display="http://www.boltdepot.com/Product-Details.aspx?product=3025"/>
    <hyperlink ref="D38:E38" r:id="rId20" display="http://www.boltdepot.com/Product-Details.aspx?product=2977"/>
    <hyperlink ref="D40:E40" r:id="rId21" display="http://www.boltdepot.com/Product-Details.aspx?product=2756"/>
    <hyperlink ref="D41:E41" r:id="rId22" display="http://www.boltdepot.com/Product-Details.aspx?product=2648"/>
    <hyperlink ref="D43:E43" r:id="rId23" display="http://www.boltdepot.com/Product-Details.aspx?product=199"/>
    <hyperlink ref="D44:E44" r:id="rId24" display="http://www.boltdepot.com/Product-Details.aspx?product=2624"/>
    <hyperlink ref="D30:E30" r:id="rId25" display="http://www.homedepot.com/p/YARDGARD-1-3-8-in-x-10-ft-6-in-17-Gauge-Galvanized-Steel-Top-Rail-328913DPT/100322532?keyword=181697"/>
    <hyperlink ref="D31:E31" r:id="rId26" display="http://www.homedepot.com/p/YARDGARD-1-3-8-in-x-10-ft-6-in-17-Gauge-Galvanized-Steel-Top-Rail-328913DPT/100322532?keyword=181697"/>
    <hyperlink ref="D32:E32" r:id="rId27" display="http://www.homedepot.com/p/YARDGARD-1-5-8-in-x-8-ft-16-Gauge-Galvanized-Steel-Line-Post-328923DPT/100322474?keyword=623105"/>
    <hyperlink ref="D75:E75" r:id="rId28" display="http://www.homedepot.com/p/Halex-3-4-in-Electric-Metallic-Tube-EMT-Compression-Coupling-5-Pack-20222/100178967"/>
    <hyperlink ref="D78:E78" r:id="rId29" display="http://www.parachute-cord.com/"/>
    <hyperlink ref="D79:E79" r:id="rId30" display="http://www.homedepot.com/p/Everbilt-4-Zinc-Plated-Steel-Screw-Eyes-25-Pack-14082/202183412"/>
    <hyperlink ref="D82:E82" r:id="rId31" display="http://www.boltdepot.com/Product-Details.aspx?product=2405"/>
    <hyperlink ref="D83:E83" r:id="rId32" display="http://www.homedepot.com/p/Lehigh-350-lb-3-8-in-x-8-in-Stainless-Steel-Hook-and-Eye-Turnbuckle-7112/100117143"/>
    <hyperlink ref="D52:E52" r:id="rId33" display="http://chainlinkfittings.com/store/1-3-8-brace-bands-chain-link-fence.html"/>
    <hyperlink ref="D81:E81" r:id="rId34" display="http://chainlinkfittings.com/store/1-3-8-brace-bands-chain-link-fence.html"/>
    <hyperlink ref="D53:E53" r:id="rId35" display="http://www.boltdepot.com/Product-Details.aspx?product=2753"/>
    <hyperlink ref="D54:E54" r:id="rId36" display="http://www.boltdepot.com/Product-Details.aspx?product=2648"/>
    <hyperlink ref="D56:E56" r:id="rId37" display="http://www.boltdepot.com/Product-Details.aspx?product=859"/>
    <hyperlink ref="D57:E57" r:id="rId38" display="http://www.boltdepot.com/Product-Details.aspx?product=2662"/>
    <hyperlink ref="D58:E58" r:id="rId39" display="http://www.boltdepot.com/Product-Details.aspx?product=2691"/>
    <hyperlink ref="D27" r:id="rId40" display="https://www.johnnyseeds.com/tools-supplies/greenhouse-and-tunnel-supplies/benders/high-tunnel-12-wide-quick-hoops-bender-9018.html"/>
    <hyperlink ref="E27" r:id="rId41" display="https://www.johnnyseeds.com/tools-supplies/greenhouse-and-tunnel-supplies/benders/high-tunnel-12-wide-quick-hoops-bender-9018.html"/>
    <hyperlink ref="D28" r:id="rId42" display="https://www.johnnyseeds.com/tools-supplies/hand-tools/trowels-and-diggers/ground-post-driver-9482.0.html"/>
    <hyperlink ref="E28" r:id="rId43" display="https://www.johnnyseeds.com/tools-supplies/hand-tools/trowels-and-diggers/ground-post-driver-9482.0.html"/>
    <hyperlink ref="D33" r:id="rId44" display="https://www.johnnyseeds.com/tools-supplies/greenhouse-and-tunnel-supplies/hardware/cross-connectors-2-count-9542.0.html"/>
    <hyperlink ref="E33" r:id="rId45" display="https://www.johnnyseeds.com/tools-supplies/greenhouse-and-tunnel-supplies/hardware/cross-connectors-2-count-9542.0.html"/>
    <hyperlink ref="D46" r:id="rId46" display="https://www.johnnyseeds.com/tools-supplies/greenhouse-and-tunnel-supplies/greenhouse-film/tufflite-iv-28-x-125-greenhouse-film-7178.html"/>
    <hyperlink ref="E46" r:id="rId47" display="https://www.johnnyseeds.com/tools-supplies/greenhouse-and-tunnel-supplies/greenhouse-film/tufflite-iv-28-x-125-greenhouse-film-7178.html"/>
    <hyperlink ref="D47" r:id="rId48" display="https://www.johnnyseeds.com/tools-supplies/greenhouse-and-tunnel-supplies/hardware/poly-latch-wire-4-7040.0.html"/>
    <hyperlink ref="E47" r:id="rId49" display="https://www.johnnyseeds.com/tools-supplies/greenhouse-and-tunnel-supplies/hardware/poly-latch-wire-4-7040.0.html"/>
    <hyperlink ref="D48" r:id="rId50" display="https://www.johnnyseeds.com/tools-supplies/greenhouse-and-tunnel-supplies/hardware/poly-latch-channel-8-7041.0.html"/>
    <hyperlink ref="E48" r:id="rId51" display="https://www.johnnyseeds.com/tools-supplies/greenhouse-and-tunnel-supplies/hardware/poly-latch-channel-8-7041.0.html"/>
    <hyperlink ref="D55" r:id="rId52" display="https://www.johnnyseeds.com/tools-supplies/supports-and-anchors/snap-clamps-for-1%22-pvc-or-chain-link-fence-top-rail-7035.0.html"/>
    <hyperlink ref="E55" r:id="rId53" display="https://www.johnnyseeds.com/tools-supplies/supports-and-anchors/snap-clamps-for-1%22-pvc-or-chain-link-fence-top-rail-7035.0.html"/>
    <hyperlink ref="D76" r:id="rId54" display="https://www.johnnyseeds.com/tools-supplies/greenhouse-and-tunnel-supplies/hardware/sidewall-hand-crank-7033.0.html"/>
    <hyperlink ref="E76" r:id="rId55" display="https://www.johnnyseeds.com/tools-supplies/greenhouse-and-tunnel-supplies/hardware/sidewall-hand-crank-7033.0.html"/>
    <hyperlink ref="D77" r:id="rId56" display="https://www.johnnyseeds.com/tools-supplies/supports-and-anchors/snap-clamps-for-3-4%22-emt-or-1-2%22-pvc-9150.0.html"/>
    <hyperlink ref="E77" r:id="rId57" display="https://www.johnnyseeds.com/tools-supplies/supports-and-anchors/snap-clamps-for-3-4%22-emt-or-1-2%22-pvc-9150.0.html"/>
    <hyperlink ref="D84" r:id="rId58" display="https://www.johnnyseeds.com/tools-supplies/supports-and-anchors/coiled-%239-support-wire-550-9725.0.html"/>
    <hyperlink ref="E84" r:id="rId59" display="https://www.johnnyseeds.com/tools-supplies/supports-and-anchors/coiled-%239-support-wire-550-9725.0.html"/>
  </hyperlinks>
  <printOptions horizontalCentered="1"/>
  <pageMargins left="0.2" right="0.2" top="0.3" bottom="0.4" header="0.3" footer="0.3"/>
  <pageSetup fitToHeight="1" fitToWidth="1" horizontalDpi="600" verticalDpi="600" orientation="portrait" scale="57"/>
  <headerFooter alignWithMargins="0">
    <oddFooter>&amp;C&amp;"Arial,Italic"&amp;9Copyright © 2014 Johnny’s Selected Seeds. All rights reserved.</oddFooter>
  </headerFooter>
  <drawing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2019-02-04T01:03:08Z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