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70" activeTab="0"/>
  </bookViews>
  <sheets>
    <sheet name="Itemized Listing" sheetId="1" r:id="rId1"/>
  </sheets>
  <definedNames>
    <definedName name="_xlnm.Print_Area" localSheetId="0">'Itemized Listing'!$B$1:$J$57</definedName>
  </definedNames>
  <calcPr fullCalcOnLoad="1"/>
</workbook>
</file>

<file path=xl/sharedStrings.xml><?xml version="1.0" encoding="utf-8"?>
<sst xmlns="http://schemas.openxmlformats.org/spreadsheetml/2006/main" count="133" uniqueCount="66">
  <si>
    <t>Width</t>
  </si>
  <si>
    <t>Qty</t>
  </si>
  <si>
    <t>Description</t>
  </si>
  <si>
    <t>Price</t>
  </si>
  <si>
    <t>Ext</t>
  </si>
  <si>
    <t>Total Cost</t>
  </si>
  <si>
    <t># Bows</t>
  </si>
  <si>
    <t>Unit</t>
  </si>
  <si>
    <t>each</t>
  </si>
  <si>
    <t>Part#</t>
  </si>
  <si>
    <t>Johnny's Selected Seeds</t>
  </si>
  <si>
    <t>*</t>
  </si>
  <si>
    <t>Square Feet</t>
  </si>
  <si>
    <t>Cost / Sq. Ft.</t>
  </si>
  <si>
    <t>* Estimations. Prices will vary and do not include shipping costs or tax.</t>
  </si>
  <si>
    <t>Dimensions, Spec's</t>
  </si>
  <si>
    <t>Length</t>
  </si>
  <si>
    <t>Home Depot</t>
  </si>
  <si>
    <t>We have no affiliation with these companies, other than purchasing these supplies from them and finding their prices competitive.</t>
  </si>
  <si>
    <t>Vendor</t>
  </si>
  <si>
    <t xml:space="preserve">Click on part# to link to product's web page. Vendors and part#'s for pipe and other accessories are provided for your convenience only. </t>
  </si>
  <si>
    <t># Modules</t>
  </si>
  <si>
    <t>Bow Spacing</t>
  </si>
  <si>
    <t>5 ft. 4 in.</t>
  </si>
  <si>
    <t>ft.</t>
  </si>
  <si>
    <t>x</t>
  </si>
  <si>
    <t>10 ft length of 1-3/8 in. fence top rail for side hoops</t>
  </si>
  <si>
    <t>10 ft length of 1-3/8 in. fence top rail for peak sections</t>
  </si>
  <si>
    <t>10 ft length of 1-3/8 in. fence top rail for ridge poles</t>
  </si>
  <si>
    <t>10 ft length of 1-3/8 in. fence top rail for bottom rails</t>
  </si>
  <si>
    <t>10 ft length of 1-3/8 in. fence top rail for knee rails</t>
  </si>
  <si>
    <t>10 ft length of 3/4 in. EMT for collar ties</t>
  </si>
  <si>
    <t>10 ft length of 3/4 in. EMT for end wall angle braces</t>
  </si>
  <si>
    <t>Bolt Depot</t>
  </si>
  <si>
    <t>1-3/8 in. brace band</t>
  </si>
  <si>
    <t>Chain Link Fittings</t>
  </si>
  <si>
    <t>BB13</t>
  </si>
  <si>
    <t>1-3/8 in. end rail T-clamp</t>
  </si>
  <si>
    <t>ERC1313</t>
  </si>
  <si>
    <t>CB5162</t>
  </si>
  <si>
    <t>roll</t>
  </si>
  <si>
    <t>5/16 - 18 x 1 in. carriage bolt for brace bands</t>
  </si>
  <si>
    <t>5/16 - 18 x 3 in. carriage bolt for ridge poles</t>
  </si>
  <si>
    <t xml:space="preserve"> </t>
  </si>
  <si>
    <t xml:space="preserve"> Lower-cost 1" EMT for Scissor Doors</t>
  </si>
  <si>
    <t xml:space="preserve"> Heavier-duty 1-3/8" Top-Rail for Scissor Doors</t>
  </si>
  <si>
    <t xml:space="preserve"> Lower-cost manual roll-up sides</t>
  </si>
  <si>
    <t xml:space="preserve"> Handcrank auto-stop roll-up sides</t>
  </si>
  <si>
    <t xml:space="preserve"> Lower-cost rebar anchors</t>
  </si>
  <si>
    <t xml:space="preserve"> More secure earth auger anchors</t>
  </si>
  <si>
    <t>#10 x 3/4 in. hex-head self-drilling tek screw, 150 pack</t>
  </si>
  <si>
    <t>5/16 - 18 x 1.75 in. carr. bolt for end-wall angle braces and scissor doors</t>
  </si>
  <si>
    <t>1 in. x 2 in. x 1.5 ft. grade stakes, 12 pack</t>
  </si>
  <si>
    <t>5/16 -18 hex nut</t>
  </si>
  <si>
    <t>5/16 -18 x 2 in. carriage bolt and nut</t>
  </si>
  <si>
    <t xml:space="preserve"> No roll-up sides at all</t>
  </si>
  <si>
    <t>Bows</t>
  </si>
  <si>
    <t>Knee Rails</t>
  </si>
  <si>
    <t>Sides</t>
  </si>
  <si>
    <t>© Johnny's Selected Seeds. All Rights Reserved.</t>
  </si>
  <si>
    <t>Quick Hoops™ 14 ft. Wide Modular Moveable 'Cathedral' Tunnel Calculator</t>
  </si>
  <si>
    <r>
      <t xml:space="preserve">Quick Hoops </t>
    </r>
    <r>
      <rPr>
        <b/>
        <sz val="11"/>
        <color indexed="8"/>
        <rFont val="Calibri"/>
        <family val="2"/>
      </rPr>
      <t xml:space="preserve">Gothic </t>
    </r>
    <r>
      <rPr>
        <sz val="11"/>
        <color theme="1"/>
        <rFont val="Calibri"/>
        <family val="2"/>
      </rPr>
      <t>High Tunnel Bender</t>
    </r>
  </si>
  <si>
    <t>R: 09.03.2015</t>
  </si>
  <si>
    <t>8 ft. length of Poly Latch ("Wiggle") Wire Channel</t>
  </si>
  <si>
    <t>4 ft. length of Poly Latch ("Wiggle") Wire</t>
  </si>
  <si>
    <t>#10 x 3/4 in. Phillips self-drilling tek screw, 170 pack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</si>
</sst>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164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47" fillId="0" borderId="0" xfId="0" applyNumberFormat="1" applyFont="1" applyAlignment="1">
      <alignment horizontal="right" vertical="center" indent="1"/>
    </xf>
    <xf numFmtId="165" fontId="47" fillId="0" borderId="1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left" vertical="center" indent="34"/>
    </xf>
    <xf numFmtId="1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164" fontId="32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indent="5"/>
    </xf>
    <xf numFmtId="164" fontId="48" fillId="0" borderId="0" xfId="44" applyNumberFormat="1" applyFont="1" applyBorder="1" applyAlignment="1">
      <alignment horizontal="right" vertical="center" indent="2"/>
    </xf>
    <xf numFmtId="49" fontId="2" fillId="0" borderId="10" xfId="0" applyNumberFormat="1" applyFont="1" applyBorder="1" applyAlignment="1">
      <alignment horizontal="left" vertical="center" indent="1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1" fontId="48" fillId="0" borderId="0" xfId="0" applyNumberFormat="1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164" fontId="48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 inden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45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164" fontId="0" fillId="0" borderId="10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horizontal="left" vertical="center" wrapText="1" indent="1"/>
    </xf>
    <xf numFmtId="14" fontId="0" fillId="0" borderId="10" xfId="0" applyNumberFormat="1" applyFont="1" applyBorder="1" applyAlignment="1">
      <alignment horizontal="left" vertical="center" indent="1"/>
    </xf>
    <xf numFmtId="1" fontId="0" fillId="4" borderId="10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left" vertical="center" indent="1"/>
    </xf>
    <xf numFmtId="0" fontId="0" fillId="4" borderId="10" xfId="0" applyFont="1" applyFill="1" applyBorder="1" applyAlignment="1">
      <alignment horizontal="left" vertical="center" indent="1"/>
    </xf>
    <xf numFmtId="164" fontId="0" fillId="4" borderId="10" xfId="0" applyNumberFormat="1" applyFont="1" applyFill="1" applyBorder="1" applyAlignment="1">
      <alignment horizontal="right" vertical="center" indent="1"/>
    </xf>
    <xf numFmtId="1" fontId="48" fillId="0" borderId="0" xfId="0" applyNumberFormat="1" applyFont="1" applyBorder="1" applyAlignment="1">
      <alignment horizontal="right" vertical="center" indent="1"/>
    </xf>
    <xf numFmtId="164" fontId="48" fillId="0" borderId="0" xfId="44" applyNumberFormat="1" applyFont="1" applyBorder="1" applyAlignment="1">
      <alignment horizontal="right" vertical="center" indent="1"/>
    </xf>
    <xf numFmtId="0" fontId="48" fillId="0" borderId="0" xfId="0" applyFont="1" applyAlignment="1">
      <alignment horizontal="center" vertical="center"/>
    </xf>
    <xf numFmtId="13" fontId="4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left" vertical="center" indent="1"/>
    </xf>
    <xf numFmtId="0" fontId="0" fillId="10" borderId="10" xfId="0" applyFill="1" applyBorder="1" applyAlignment="1">
      <alignment horizontal="left" vertical="center" indent="1"/>
    </xf>
    <xf numFmtId="164" fontId="0" fillId="10" borderId="10" xfId="0" applyNumberFormat="1" applyFont="1" applyFill="1" applyBorder="1" applyAlignment="1">
      <alignment horizontal="right" vertical="center" indent="1"/>
    </xf>
    <xf numFmtId="0" fontId="2" fillId="0" borderId="10" xfId="0" applyNumberFormat="1" applyFont="1" applyBorder="1" applyAlignment="1">
      <alignment horizontal="left" vertical="center" indent="1"/>
    </xf>
    <xf numFmtId="0" fontId="2" fillId="4" borderId="10" xfId="0" applyNumberFormat="1" applyFont="1" applyFill="1" applyBorder="1" applyAlignment="1">
      <alignment horizontal="left" vertical="center" indent="1"/>
    </xf>
    <xf numFmtId="0" fontId="2" fillId="10" borderId="10" xfId="0" applyNumberFormat="1" applyFont="1" applyFill="1" applyBorder="1" applyAlignment="1">
      <alignment horizontal="left" vertical="center" indent="1"/>
    </xf>
    <xf numFmtId="0" fontId="0" fillId="10" borderId="10" xfId="0" applyFont="1" applyFill="1" applyBorder="1" applyAlignment="1">
      <alignment horizontal="left" vertical="center" inden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" fontId="2" fillId="0" borderId="11" xfId="53" applyNumberFormat="1" applyFont="1" applyBorder="1" applyAlignment="1" applyProtection="1">
      <alignment horizontal="center" vertical="center"/>
      <protection/>
    </xf>
    <xf numFmtId="1" fontId="2" fillId="0" borderId="12" xfId="53" applyNumberFormat="1" applyFont="1" applyBorder="1" applyAlignment="1" applyProtection="1">
      <alignment horizontal="center" vertical="center"/>
      <protection/>
    </xf>
    <xf numFmtId="1" fontId="2" fillId="4" borderId="11" xfId="53" applyNumberFormat="1" applyFont="1" applyFill="1" applyBorder="1" applyAlignment="1" applyProtection="1">
      <alignment horizontal="center" vertical="center"/>
      <protection/>
    </xf>
    <xf numFmtId="1" fontId="2" fillId="4" borderId="12" xfId="53" applyNumberFormat="1" applyFont="1" applyFill="1" applyBorder="1" applyAlignment="1" applyProtection="1">
      <alignment horizontal="center" vertical="center"/>
      <protection/>
    </xf>
    <xf numFmtId="1" fontId="2" fillId="0" borderId="11" xfId="53" applyNumberFormat="1" applyFont="1" applyFill="1" applyBorder="1" applyAlignment="1" applyProtection="1">
      <alignment horizontal="center" vertical="center"/>
      <protection/>
    </xf>
    <xf numFmtId="1" fontId="2" fillId="0" borderId="12" xfId="53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 wrapText="1"/>
    </xf>
    <xf numFmtId="1" fontId="2" fillId="10" borderId="11" xfId="53" applyNumberFormat="1" applyFont="1" applyFill="1" applyBorder="1" applyAlignment="1" applyProtection="1">
      <alignment horizontal="center" vertical="center"/>
      <protection/>
    </xf>
    <xf numFmtId="1" fontId="2" fillId="10" borderId="12" xfId="53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left" vertical="center"/>
    </xf>
    <xf numFmtId="0" fontId="2" fillId="0" borderId="11" xfId="53" applyFont="1" applyBorder="1" applyAlignment="1" applyProtection="1">
      <alignment horizontal="center"/>
      <protection/>
    </xf>
    <xf numFmtId="0" fontId="2" fillId="0" borderId="12" xfId="53" applyFont="1" applyBorder="1" applyAlignment="1" applyProtection="1">
      <alignment horizontal="center"/>
      <protection/>
    </xf>
    <xf numFmtId="1" fontId="45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1" fontId="48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1600200</xdr:colOff>
      <xdr:row>0</xdr:row>
      <xdr:rowOff>180975</xdr:rowOff>
    </xdr:from>
    <xdr:to>
      <xdr:col>6</xdr:col>
      <xdr:colOff>1838325</xdr:colOff>
      <xdr:row>0</xdr:row>
      <xdr:rowOff>866775</xdr:rowOff>
    </xdr:to>
    <xdr:pic>
      <xdr:nvPicPr>
        <xdr:cNvPr id="1" name="Picture 3" descr="JSSlogoURL_2-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80975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nnyseeds.com/search.aspx?searchterm=snap+clamps&amp;isusersearch=1" TargetMode="External" /><Relationship Id="rId2" Type="http://schemas.openxmlformats.org/officeDocument/2006/relationships/hyperlink" Target="http://www.homedepot.com/p/Allied-Tube-Conduit-3-4-in-x-10-ft-Electric-Metallic-Tube-Conduit-101550/100400406" TargetMode="External" /><Relationship Id="rId3" Type="http://schemas.openxmlformats.org/officeDocument/2006/relationships/hyperlink" Target="http://www.homedepot.com/p/Allied-Tube-Conduit-3-4-in-x-10-ft-Electric-Metallic-Tube-Conduit-101550/100400406" TargetMode="External" /><Relationship Id="rId4" Type="http://schemas.openxmlformats.org/officeDocument/2006/relationships/hyperlink" Target="http://www.johnnyseeds.com/p-8923-wiggle-wire.aspx" TargetMode="External" /><Relationship Id="rId5" Type="http://schemas.openxmlformats.org/officeDocument/2006/relationships/hyperlink" Target="http://www.johnnyseeds.com/p-8884-wiggle-wire-channel.aspx" TargetMode="External" /><Relationship Id="rId6" Type="http://schemas.openxmlformats.org/officeDocument/2006/relationships/hyperlink" Target="http://www.homedepot.com/p/Teks-10-x-3-4-in-Zinc-Plated-Steel-Hex-Washer-Head-Self-Tapping-Screws-150-Pack-21320/100138326" TargetMode="External" /><Relationship Id="rId7" Type="http://schemas.openxmlformats.org/officeDocument/2006/relationships/hyperlink" Target="http://chainlinkfittings.com/store/1-3-8-brace-bands-chain-link-fence.html" TargetMode="External" /><Relationship Id="rId8" Type="http://schemas.openxmlformats.org/officeDocument/2006/relationships/hyperlink" Target="http://chainlinkfittings.com/store/chain-link-fence-fittings/1-3-8-x-1-3-8-end-rail-clamp-rail-bands-t-clamps.html" TargetMode="External" /><Relationship Id="rId9" Type="http://schemas.openxmlformats.org/officeDocument/2006/relationships/hyperlink" Target="http://www.boltdepot.com/Product-Details.aspx?product=2769" TargetMode="External" /><Relationship Id="rId10" Type="http://schemas.openxmlformats.org/officeDocument/2006/relationships/hyperlink" Target="http://www.boltdepot.com/Product-Details.aspx?product=2772" TargetMode="External" /><Relationship Id="rId11" Type="http://schemas.openxmlformats.org/officeDocument/2006/relationships/hyperlink" Target="http://www.boltdepot.com/Product-Details.aspx?product=2649" TargetMode="External" /><Relationship Id="rId12" Type="http://schemas.openxmlformats.org/officeDocument/2006/relationships/hyperlink" Target="http://www.johnnyseeds.com/search.aspx?searchterm=tufflite+28&amp;isusersearch=1" TargetMode="External" /><Relationship Id="rId13" Type="http://schemas.openxmlformats.org/officeDocument/2006/relationships/hyperlink" Target="http://www.johnnyseeds.com/p-8878-sidewall-hand-crank.aspx" TargetMode="External" /><Relationship Id="rId14" Type="http://schemas.openxmlformats.org/officeDocument/2006/relationships/hyperlink" Target="http://www.homedepot.com/p/Halex-3-4-in-Electric-Metallic-Tube-EMT-Compression-Coupling-5-Pack-20222/100178967" TargetMode="External" /><Relationship Id="rId15" Type="http://schemas.openxmlformats.org/officeDocument/2006/relationships/hyperlink" Target="http://www.boltdepot.com/Product-Details.aspx?product=2777" TargetMode="External" /><Relationship Id="rId16" Type="http://schemas.openxmlformats.org/officeDocument/2006/relationships/hyperlink" Target="http://www.homedepot.com/p/Mueller-Global-3-4-in-Black-Malleable-Iron-Threaded-Tee-520-604HN/100073073" TargetMode="External" /><Relationship Id="rId17" Type="http://schemas.openxmlformats.org/officeDocument/2006/relationships/hyperlink" Target="http://www.homedepot.com/p/t/100322532?catalogId=10053&amp;langId=-1&amp;keyword=top+rail&amp;storeId=10051&amp;N=5yc1v&amp;R=100322532" TargetMode="External" /><Relationship Id="rId18" Type="http://schemas.openxmlformats.org/officeDocument/2006/relationships/hyperlink" Target="http://www.homedepot.com/h_d1/N-5yc1v/R-100322532/h_d2/ProductDisplay?catalogId=10053&amp;langId=-1&amp;keyword=top+rail&amp;storeId=10051" TargetMode="External" /><Relationship Id="rId19" Type="http://schemas.openxmlformats.org/officeDocument/2006/relationships/hyperlink" Target="http://www.homedepot.com/p/t/100322532?catalogId=10053&amp;langId=-1&amp;keyword=top+rail&amp;storeId=10051&amp;N=5yc1v&amp;R=100322532" TargetMode="External" /><Relationship Id="rId20" Type="http://schemas.openxmlformats.org/officeDocument/2006/relationships/hyperlink" Target="http://www.homedepot.com/p/t/100322532?catalogId=10053&amp;langId=-1&amp;keyword=top+rail&amp;storeId=10051&amp;N=5yc1v&amp;R=100322532" TargetMode="External" /><Relationship Id="rId21" Type="http://schemas.openxmlformats.org/officeDocument/2006/relationships/hyperlink" Target="http://www.homedepot.com/p/t/100322532?catalogId=10053&amp;langId=-1&amp;keyword=top+rail&amp;storeId=10051&amp;N=5yc1v&amp;R=100322532" TargetMode="External" /><Relationship Id="rId22" Type="http://schemas.openxmlformats.org/officeDocument/2006/relationships/hyperlink" Target="http://www.homedepot.com/p/t/100322532?catalogId=10053&amp;langId=-1&amp;keyword=top+rail&amp;storeId=10051&amp;N=5yc1v&amp;R=100322532" TargetMode="External" /><Relationship Id="rId23" Type="http://schemas.openxmlformats.org/officeDocument/2006/relationships/hyperlink" Target="http://www.homedepot.com/p/ShelterLogic-ShelterAuger-30-in-Earth-Anchors-Set-4-Piece-10075-0/202719050" TargetMode="External" /><Relationship Id="rId24" Type="http://schemas.openxmlformats.org/officeDocument/2006/relationships/hyperlink" Target="http://www.johnnyseeds.com/p-8293-snap-clamps-for-emt-or-pvc.aspx" TargetMode="External" /><Relationship Id="rId25" Type="http://schemas.openxmlformats.org/officeDocument/2006/relationships/hyperlink" Target="http://www.homedepot.com/p/Teks-10-x-3-4-in-Zinc-Plated-Steel-Hex-Washer-Head-Self-Tapping-Screws-150-Pack-21320/100138326" TargetMode="External" /><Relationship Id="rId26" Type="http://schemas.openxmlformats.org/officeDocument/2006/relationships/hyperlink" Target="http://www.homedepot.com/p/Unbranded-1-in-x-2-in-x-1-1-2-ft-Untreated-Pine-Grade-Stakes-12-Pack-461443/203316903" TargetMode="External" /><Relationship Id="rId27" Type="http://schemas.openxmlformats.org/officeDocument/2006/relationships/hyperlink" Target="http://www.boltdepot.com/Product-Details.aspx?product=12280" TargetMode="External" /><Relationship Id="rId28" Type="http://schemas.openxmlformats.org/officeDocument/2006/relationships/hyperlink" Target="http://www.homedepot.com/p/The-Hillman-Group-5-16-18-in-x-8-7-8-in-Zinc-Plated-Hook-and-Hook-Turnbuckle-5-Pack-321922/203810235" TargetMode="External" /><Relationship Id="rId29" Type="http://schemas.openxmlformats.org/officeDocument/2006/relationships/hyperlink" Target="http://www.johnnyseeds.com/p-9341-quick-hoops-gothic-high-tunnel-bender.aspx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showGridLines="0" tabSelected="1" zoomScale="78" zoomScaleNormal="78" zoomScalePageLayoutView="0" workbookViewId="0" topLeftCell="A19">
      <selection activeCell="M33" sqref="M33"/>
    </sheetView>
  </sheetViews>
  <sheetFormatPr defaultColWidth="9.140625" defaultRowHeight="15"/>
  <cols>
    <col min="1" max="1" width="7.00390625" style="4" customWidth="1"/>
    <col min="2" max="2" width="9.28125" style="6" customWidth="1"/>
    <col min="3" max="3" width="7.57421875" style="6" customWidth="1"/>
    <col min="4" max="4" width="4.8515625" style="6" customWidth="1"/>
    <col min="5" max="5" width="6.140625" style="4" customWidth="1"/>
    <col min="6" max="6" width="28.140625" style="4" customWidth="1"/>
    <col min="7" max="7" width="50.28125" style="4" customWidth="1"/>
    <col min="8" max="8" width="9.57421875" style="9" customWidth="1"/>
    <col min="9" max="9" width="12.57421875" style="9" customWidth="1"/>
    <col min="10" max="10" width="2.7109375" style="4" customWidth="1"/>
    <col min="11" max="11" width="9.57421875" style="5" customWidth="1"/>
    <col min="12" max="12" width="8.57421875" style="5" customWidth="1"/>
    <col min="13" max="17" width="9.140625" style="5" customWidth="1"/>
    <col min="18" max="16384" width="9.140625" style="4" customWidth="1"/>
  </cols>
  <sheetData>
    <row r="1" ht="69.75" customHeight="1"/>
    <row r="2" spans="2:17" s="1" customFormat="1" ht="26.25">
      <c r="B2" s="87" t="s">
        <v>60</v>
      </c>
      <c r="C2" s="87"/>
      <c r="D2" s="87"/>
      <c r="E2" s="87"/>
      <c r="F2" s="87"/>
      <c r="G2" s="87"/>
      <c r="H2" s="87"/>
      <c r="I2" s="87"/>
      <c r="K2" s="3"/>
      <c r="L2" s="10"/>
      <c r="M2" s="3"/>
      <c r="N2" s="3"/>
      <c r="O2" s="3"/>
      <c r="P2" s="3"/>
      <c r="Q2" s="3"/>
    </row>
    <row r="3" spans="2:17" s="1" customFormat="1" ht="15" customHeight="1">
      <c r="B3" s="85" t="s">
        <v>59</v>
      </c>
      <c r="C3" s="86"/>
      <c r="D3" s="86"/>
      <c r="E3" s="86"/>
      <c r="F3" s="86"/>
      <c r="G3" s="86"/>
      <c r="H3" s="86"/>
      <c r="I3" s="86"/>
      <c r="K3" s="3"/>
      <c r="L3" s="10"/>
      <c r="M3" s="3"/>
      <c r="N3" s="3"/>
      <c r="O3" s="3"/>
      <c r="P3" s="3"/>
      <c r="Q3" s="3"/>
    </row>
    <row r="4" spans="1:17" s="14" customFormat="1" ht="18" customHeight="1">
      <c r="A4" s="27"/>
      <c r="B4" s="88" t="s">
        <v>15</v>
      </c>
      <c r="C4" s="88"/>
      <c r="D4" s="88"/>
      <c r="E4" s="88"/>
      <c r="F4" s="19"/>
      <c r="H4" s="16" t="s">
        <v>12</v>
      </c>
      <c r="I4" s="53">
        <f>D8*D7</f>
        <v>700</v>
      </c>
      <c r="K4" s="55"/>
      <c r="L4" s="15"/>
      <c r="M4" s="55"/>
      <c r="N4" s="55"/>
      <c r="O4" s="55"/>
      <c r="P4" s="55"/>
      <c r="Q4" s="55"/>
    </row>
    <row r="5" spans="2:17" s="27" customFormat="1" ht="3.75" customHeight="1">
      <c r="B5" s="33"/>
      <c r="C5" s="33"/>
      <c r="D5" s="33"/>
      <c r="E5" s="33"/>
      <c r="H5" s="16"/>
      <c r="I5" s="53"/>
      <c r="K5" s="55"/>
      <c r="L5" s="15"/>
      <c r="M5" s="55"/>
      <c r="N5" s="55"/>
      <c r="O5" s="55"/>
      <c r="P5" s="55"/>
      <c r="Q5" s="55"/>
    </row>
    <row r="6" spans="2:17" s="27" customFormat="1" ht="18" customHeight="1">
      <c r="B6" s="38" t="s">
        <v>21</v>
      </c>
      <c r="C6" s="38"/>
      <c r="D6" s="40">
        <v>3</v>
      </c>
      <c r="E6" s="41">
        <f>IF(D6&gt;0,"","Enter the # of modules here that you would like your tunnel to have.")</f>
      </c>
      <c r="F6" s="39"/>
      <c r="H6" s="16" t="s">
        <v>13</v>
      </c>
      <c r="I6" s="54">
        <f>I54/I4</f>
        <v>3.221828571428571</v>
      </c>
      <c r="K6" s="55"/>
      <c r="L6" s="15"/>
      <c r="M6" s="55"/>
      <c r="N6" s="55"/>
      <c r="O6" s="55"/>
      <c r="P6" s="55"/>
      <c r="Q6" s="55"/>
    </row>
    <row r="7" spans="1:17" s="14" customFormat="1" ht="16.5" customHeight="1">
      <c r="A7" s="27"/>
      <c r="B7" s="89" t="s">
        <v>16</v>
      </c>
      <c r="C7" s="89"/>
      <c r="D7" s="30">
        <f>IF(D6=0,"",D6*16+D6-1)</f>
        <v>50</v>
      </c>
      <c r="E7" s="29" t="s">
        <v>24</v>
      </c>
      <c r="F7" s="24"/>
      <c r="G7" s="17"/>
      <c r="K7" s="55"/>
      <c r="L7" s="15"/>
      <c r="M7" s="55"/>
      <c r="N7" s="55"/>
      <c r="O7" s="55"/>
      <c r="P7" s="55"/>
      <c r="Q7" s="55"/>
    </row>
    <row r="8" spans="2:17" s="27" customFormat="1" ht="16.5" customHeight="1">
      <c r="B8" s="93" t="s">
        <v>0</v>
      </c>
      <c r="C8" s="93"/>
      <c r="D8" s="18">
        <v>14</v>
      </c>
      <c r="E8" s="29" t="s">
        <v>24</v>
      </c>
      <c r="F8" s="24"/>
      <c r="G8" s="17"/>
      <c r="H8" s="16"/>
      <c r="I8" s="25"/>
      <c r="K8" s="55"/>
      <c r="L8" s="15"/>
      <c r="M8" s="55"/>
      <c r="N8" s="55"/>
      <c r="O8" s="55"/>
      <c r="P8" s="55"/>
      <c r="Q8" s="55"/>
    </row>
    <row r="9" spans="1:17" s="14" customFormat="1" ht="16.5" customHeight="1">
      <c r="A9" s="27"/>
      <c r="B9" s="90" t="s">
        <v>22</v>
      </c>
      <c r="C9" s="90"/>
      <c r="D9" s="32" t="s">
        <v>23</v>
      </c>
      <c r="E9" s="31"/>
      <c r="F9" s="24"/>
      <c r="G9" s="17"/>
      <c r="K9" s="55"/>
      <c r="L9" s="15"/>
      <c r="M9" s="55"/>
      <c r="N9" s="55"/>
      <c r="O9" s="55"/>
      <c r="P9" s="55"/>
      <c r="Q9" s="55"/>
    </row>
    <row r="10" spans="2:17" s="1" customFormat="1" ht="16.5" customHeight="1">
      <c r="B10" s="82" t="s">
        <v>6</v>
      </c>
      <c r="C10" s="82"/>
      <c r="D10" s="15">
        <f>4*D6</f>
        <v>12</v>
      </c>
      <c r="E10" s="20"/>
      <c r="F10" s="19"/>
      <c r="H10" s="2"/>
      <c r="I10" s="2"/>
      <c r="K10" s="3"/>
      <c r="L10" s="3"/>
      <c r="M10" s="56"/>
      <c r="N10" s="3"/>
      <c r="O10" s="3"/>
      <c r="P10" s="3"/>
      <c r="Q10" s="3"/>
    </row>
    <row r="11" spans="2:17" s="1" customFormat="1" ht="16.5" customHeight="1">
      <c r="B11" s="34"/>
      <c r="C11" s="28" t="s">
        <v>44</v>
      </c>
      <c r="D11" s="15"/>
      <c r="E11" s="28"/>
      <c r="F11" s="27"/>
      <c r="G11" s="79">
        <f>IF(AND(B11="X",B12=0),"",IF(AND(B12="X",B11=0),"","Type 'X' next to your choice for scissor doors.               Please make only one choice."))</f>
      </c>
      <c r="H11" s="2"/>
      <c r="I11" s="2"/>
      <c r="K11" s="3"/>
      <c r="L11" s="3"/>
      <c r="M11" s="3"/>
      <c r="N11" s="3"/>
      <c r="O11" s="3"/>
      <c r="P11" s="3"/>
      <c r="Q11" s="3"/>
    </row>
    <row r="12" spans="2:17" s="1" customFormat="1" ht="16.5" customHeight="1">
      <c r="B12" s="34" t="s">
        <v>25</v>
      </c>
      <c r="C12" s="28" t="s">
        <v>45</v>
      </c>
      <c r="D12" s="15"/>
      <c r="E12" s="28"/>
      <c r="F12" s="27"/>
      <c r="G12" s="79"/>
      <c r="H12" s="2"/>
      <c r="I12" s="2"/>
      <c r="K12" s="3"/>
      <c r="L12" s="3"/>
      <c r="M12" s="3" t="s">
        <v>43</v>
      </c>
      <c r="N12" s="3"/>
      <c r="O12" s="3"/>
      <c r="P12" s="3"/>
      <c r="Q12" s="3"/>
    </row>
    <row r="13" spans="2:17" s="1" customFormat="1" ht="6.75" customHeight="1">
      <c r="B13" s="28"/>
      <c r="C13" s="28"/>
      <c r="D13" s="15"/>
      <c r="E13" s="28"/>
      <c r="F13" s="27"/>
      <c r="H13" s="2"/>
      <c r="I13" s="2"/>
      <c r="K13" s="3"/>
      <c r="L13" s="3"/>
      <c r="M13" s="3"/>
      <c r="N13" s="3"/>
      <c r="O13" s="3"/>
      <c r="P13" s="3"/>
      <c r="Q13" s="3"/>
    </row>
    <row r="14" spans="2:17" s="42" customFormat="1" ht="15.75" customHeight="1">
      <c r="B14" s="34"/>
      <c r="C14" s="43" t="s">
        <v>55</v>
      </c>
      <c r="D14" s="15"/>
      <c r="E14" s="43"/>
      <c r="F14" s="27"/>
      <c r="G14" s="79">
        <f>IF(AND(B15="X",B16=0,B14=0),"",IF(AND(B16="X",B15=0,B14=0),"",IF(AND(B14="X",B15=0,B16=0),"","Type 'X' next to your choice for roll-up sides.               Please make only one choice.")))</f>
      </c>
      <c r="H14" s="2"/>
      <c r="I14" s="2"/>
      <c r="K14" s="3"/>
      <c r="L14" s="3"/>
      <c r="M14" s="3"/>
      <c r="N14" s="3"/>
      <c r="O14" s="3"/>
      <c r="P14" s="3"/>
      <c r="Q14" s="3"/>
    </row>
    <row r="15" spans="2:17" s="1" customFormat="1" ht="15.75" customHeight="1">
      <c r="B15" s="34"/>
      <c r="C15" s="43" t="s">
        <v>46</v>
      </c>
      <c r="D15" s="15"/>
      <c r="E15" s="43"/>
      <c r="F15" s="27"/>
      <c r="G15" s="79"/>
      <c r="H15" s="2"/>
      <c r="I15" s="2"/>
      <c r="K15" s="3"/>
      <c r="L15" s="3"/>
      <c r="M15" s="3"/>
      <c r="N15" s="3"/>
      <c r="O15" s="3"/>
      <c r="P15" s="3"/>
      <c r="Q15" s="3"/>
    </row>
    <row r="16" spans="2:17" s="1" customFormat="1" ht="15.75" customHeight="1">
      <c r="B16" s="34" t="s">
        <v>25</v>
      </c>
      <c r="C16" s="43" t="s">
        <v>47</v>
      </c>
      <c r="D16" s="15"/>
      <c r="E16" s="43"/>
      <c r="F16" s="27"/>
      <c r="G16" s="79"/>
      <c r="H16" s="2"/>
      <c r="I16" s="2"/>
      <c r="K16" s="3"/>
      <c r="L16" s="3"/>
      <c r="M16" s="3"/>
      <c r="N16" s="3"/>
      <c r="O16" s="3"/>
      <c r="P16" s="3"/>
      <c r="Q16" s="3"/>
    </row>
    <row r="17" spans="2:17" s="1" customFormat="1" ht="6.75" customHeight="1">
      <c r="B17" s="28"/>
      <c r="C17" s="28"/>
      <c r="D17" s="15"/>
      <c r="E17" s="28"/>
      <c r="F17" s="27"/>
      <c r="H17" s="2"/>
      <c r="I17" s="2"/>
      <c r="K17" s="3"/>
      <c r="L17" s="3"/>
      <c r="M17" s="3"/>
      <c r="N17" s="3"/>
      <c r="O17" s="3"/>
      <c r="P17" s="3"/>
      <c r="Q17" s="3"/>
    </row>
    <row r="18" spans="2:17" s="1" customFormat="1" ht="16.5" customHeight="1">
      <c r="B18" s="34"/>
      <c r="C18" s="28" t="s">
        <v>48</v>
      </c>
      <c r="D18" s="15"/>
      <c r="E18" s="28"/>
      <c r="F18" s="27"/>
      <c r="G18" s="79">
        <f>IF(AND(B18="X",B19=0),"",IF(AND(B19="X",B18=0),"","Type 'X' next to your choice for anchoring.                 Please make only one choice."))</f>
      </c>
      <c r="H18" s="2"/>
      <c r="I18" s="2"/>
      <c r="K18" s="3"/>
      <c r="L18" s="3"/>
      <c r="M18" s="3"/>
      <c r="N18" s="3"/>
      <c r="O18" s="3"/>
      <c r="P18" s="3"/>
      <c r="Q18" s="3"/>
    </row>
    <row r="19" spans="2:17" s="1" customFormat="1" ht="16.5" customHeight="1">
      <c r="B19" s="34" t="s">
        <v>25</v>
      </c>
      <c r="C19" s="28" t="s">
        <v>49</v>
      </c>
      <c r="D19" s="15"/>
      <c r="E19" s="28"/>
      <c r="F19" s="27"/>
      <c r="G19" s="79"/>
      <c r="H19" s="2"/>
      <c r="I19" s="2"/>
      <c r="K19" s="3"/>
      <c r="L19" s="3"/>
      <c r="M19" s="3"/>
      <c r="N19" s="3"/>
      <c r="O19" s="3"/>
      <c r="P19" s="3"/>
      <c r="Q19" s="3"/>
    </row>
    <row r="20" spans="2:17" s="1" customFormat="1" ht="6.75" customHeight="1">
      <c r="B20" s="20"/>
      <c r="C20" s="20"/>
      <c r="D20" s="15"/>
      <c r="E20" s="20"/>
      <c r="F20" s="19"/>
      <c r="H20" s="2"/>
      <c r="I20" s="2"/>
      <c r="K20" s="3"/>
      <c r="L20" s="3"/>
      <c r="M20" s="3"/>
      <c r="N20" s="3"/>
      <c r="O20" s="3"/>
      <c r="P20" s="3"/>
      <c r="Q20" s="3"/>
    </row>
    <row r="21" spans="2:9" s="3" customFormat="1" ht="15">
      <c r="B21" s="21" t="s">
        <v>1</v>
      </c>
      <c r="C21" s="21" t="s">
        <v>7</v>
      </c>
      <c r="D21" s="91" t="s">
        <v>9</v>
      </c>
      <c r="E21" s="92"/>
      <c r="F21" s="22" t="s">
        <v>19</v>
      </c>
      <c r="G21" s="22" t="s">
        <v>2</v>
      </c>
      <c r="H21" s="23" t="s">
        <v>3</v>
      </c>
      <c r="I21" s="23" t="s">
        <v>4</v>
      </c>
    </row>
    <row r="22" spans="2:9" ht="15">
      <c r="B22" s="59">
        <v>1</v>
      </c>
      <c r="C22" s="59" t="s">
        <v>8</v>
      </c>
      <c r="D22" s="80">
        <v>7300</v>
      </c>
      <c r="E22" s="81"/>
      <c r="F22" s="60" t="s">
        <v>10</v>
      </c>
      <c r="G22" s="61" t="s">
        <v>61</v>
      </c>
      <c r="H22" s="62">
        <v>89</v>
      </c>
      <c r="I22" s="62">
        <f>IF(H22="","",B22*H22)</f>
        <v>89</v>
      </c>
    </row>
    <row r="23" spans="2:10" ht="15">
      <c r="B23" s="44">
        <f>D10*2</f>
        <v>24</v>
      </c>
      <c r="C23" s="44" t="s">
        <v>8</v>
      </c>
      <c r="D23" s="73">
        <v>181697</v>
      </c>
      <c r="E23" s="74"/>
      <c r="F23" s="26" t="s">
        <v>17</v>
      </c>
      <c r="G23" s="45" t="s">
        <v>26</v>
      </c>
      <c r="H23" s="46">
        <v>11.31</v>
      </c>
      <c r="I23" s="35">
        <f aca="true" t="shared" si="0" ref="I23:I28">IF(H23="","",B23*H23)</f>
        <v>271.44</v>
      </c>
      <c r="J23" s="4" t="s">
        <v>11</v>
      </c>
    </row>
    <row r="24" spans="2:10" ht="15">
      <c r="B24" s="44">
        <f>D10/2</f>
        <v>6</v>
      </c>
      <c r="C24" s="44" t="s">
        <v>8</v>
      </c>
      <c r="D24" s="73">
        <v>181697</v>
      </c>
      <c r="E24" s="74"/>
      <c r="F24" s="26" t="s">
        <v>17</v>
      </c>
      <c r="G24" s="45" t="s">
        <v>27</v>
      </c>
      <c r="H24" s="46">
        <v>11.31</v>
      </c>
      <c r="I24" s="35">
        <f t="shared" si="0"/>
        <v>67.86</v>
      </c>
      <c r="J24" s="4" t="s">
        <v>11</v>
      </c>
    </row>
    <row r="25" spans="2:10" ht="15">
      <c r="B25" s="44">
        <f>2*D6</f>
        <v>6</v>
      </c>
      <c r="C25" s="44" t="s">
        <v>8</v>
      </c>
      <c r="D25" s="73">
        <v>181697</v>
      </c>
      <c r="E25" s="74"/>
      <c r="F25" s="26" t="s">
        <v>17</v>
      </c>
      <c r="G25" s="45" t="s">
        <v>28</v>
      </c>
      <c r="H25" s="46">
        <v>11.31</v>
      </c>
      <c r="I25" s="35">
        <f t="shared" si="0"/>
        <v>67.86</v>
      </c>
      <c r="J25" s="4" t="s">
        <v>11</v>
      </c>
    </row>
    <row r="26" spans="2:10" ht="15">
      <c r="B26" s="44">
        <f>4*D6</f>
        <v>12</v>
      </c>
      <c r="C26" s="44" t="s">
        <v>8</v>
      </c>
      <c r="D26" s="73">
        <v>181697</v>
      </c>
      <c r="E26" s="74"/>
      <c r="F26" s="26" t="s">
        <v>17</v>
      </c>
      <c r="G26" s="45" t="s">
        <v>29</v>
      </c>
      <c r="H26" s="46">
        <v>11.31</v>
      </c>
      <c r="I26" s="35">
        <f t="shared" si="0"/>
        <v>135.72</v>
      </c>
      <c r="J26" s="4" t="s">
        <v>11</v>
      </c>
    </row>
    <row r="27" spans="2:10" ht="15">
      <c r="B27" s="44">
        <v>3</v>
      </c>
      <c r="C27" s="44" t="s">
        <v>8</v>
      </c>
      <c r="D27" s="73">
        <v>181697</v>
      </c>
      <c r="E27" s="74"/>
      <c r="F27" s="26" t="s">
        <v>17</v>
      </c>
      <c r="G27" s="45" t="s">
        <v>30</v>
      </c>
      <c r="H27" s="46">
        <v>11.31</v>
      </c>
      <c r="I27" s="35">
        <f t="shared" si="0"/>
        <v>33.93</v>
      </c>
      <c r="J27" s="4" t="s">
        <v>11</v>
      </c>
    </row>
    <row r="28" spans="2:13" ht="15">
      <c r="B28" s="44">
        <v>4</v>
      </c>
      <c r="C28" s="44" t="s">
        <v>8</v>
      </c>
      <c r="D28" s="83">
        <f>IF(AND(B11="X",B12=0),580015,IF(AND(B12="X",B11=0),181697,""))</f>
        <v>181697</v>
      </c>
      <c r="E28" s="84"/>
      <c r="F28" s="26" t="s">
        <v>17</v>
      </c>
      <c r="G28" s="45" t="str">
        <f>IF(D29=7036,"10 ft length of 1 in. EMT for scissor doors",IF(D29=7035,"10 ft length of 1-3/8 in. fence top rail for scissor doors",""))</f>
        <v>10 ft length of 1-3/8 in. fence top rail for scissor doors</v>
      </c>
      <c r="H28" s="46">
        <f>IF(D28=580015,6.77,IF(D28=181697,11.31,""))</f>
        <v>11.31</v>
      </c>
      <c r="I28" s="35">
        <f t="shared" si="0"/>
        <v>45.24</v>
      </c>
      <c r="J28" s="4" t="s">
        <v>11</v>
      </c>
      <c r="K28" s="57"/>
      <c r="L28" s="57"/>
      <c r="M28" s="57"/>
    </row>
    <row r="29" spans="2:9" ht="15">
      <c r="B29" s="49">
        <v>4</v>
      </c>
      <c r="C29" s="49" t="s">
        <v>8</v>
      </c>
      <c r="D29" s="75">
        <f>IF(AND(B11="X",B12=0),7036,IF(AND(B12="X",B11=0),7035,""))</f>
        <v>7035</v>
      </c>
      <c r="E29" s="76"/>
      <c r="F29" s="50" t="s">
        <v>10</v>
      </c>
      <c r="G29" s="51" t="str">
        <f>IF(D29=7036,"Snap Clamps for 1 in. EMT, 10 pack",IF(D29=7035,"Snap Clamps for 1-3/8 in. Top-Rail, 10 pack",""))</f>
        <v>Snap Clamps for 1-3/8 in. Top-Rail, 10 pack</v>
      </c>
      <c r="H29" s="52">
        <f>IF(D29=7036,4.95,IF(D29=7035,6.95,""))</f>
        <v>6.95</v>
      </c>
      <c r="I29" s="52">
        <f>IF(H29="","",B29*H29)</f>
        <v>27.8</v>
      </c>
    </row>
    <row r="30" spans="2:10" ht="15">
      <c r="B30" s="44">
        <f>D10</f>
        <v>12</v>
      </c>
      <c r="C30" s="44" t="s">
        <v>8</v>
      </c>
      <c r="D30" s="73">
        <v>203114</v>
      </c>
      <c r="E30" s="74"/>
      <c r="F30" s="26" t="s">
        <v>17</v>
      </c>
      <c r="G30" s="45" t="s">
        <v>31</v>
      </c>
      <c r="H30" s="46">
        <v>3.87</v>
      </c>
      <c r="I30" s="35">
        <f aca="true" t="shared" si="1" ref="I30:I53">IF(H30="","",B30*H30)</f>
        <v>46.44</v>
      </c>
      <c r="J30" s="4" t="s">
        <v>11</v>
      </c>
    </row>
    <row r="31" spans="2:10" ht="15">
      <c r="B31" s="44">
        <v>4</v>
      </c>
      <c r="C31" s="44" t="s">
        <v>8</v>
      </c>
      <c r="D31" s="73">
        <v>203114</v>
      </c>
      <c r="E31" s="74"/>
      <c r="F31" s="26" t="s">
        <v>17</v>
      </c>
      <c r="G31" s="45" t="s">
        <v>32</v>
      </c>
      <c r="H31" s="46">
        <v>3.87</v>
      </c>
      <c r="I31" s="35">
        <f t="shared" si="1"/>
        <v>15.48</v>
      </c>
      <c r="J31" s="4" t="s">
        <v>11</v>
      </c>
    </row>
    <row r="32" spans="2:10" ht="15">
      <c r="B32" s="67">
        <f>IF(B14="x","",D7*2/10+2)</f>
        <v>12</v>
      </c>
      <c r="C32" s="68" t="str">
        <f>IF(B14="x","","each")</f>
        <v>each</v>
      </c>
      <c r="D32" s="77" t="str">
        <f>IF(B14="x","","203114")</f>
        <v>203114</v>
      </c>
      <c r="E32" s="78"/>
      <c r="F32" s="69" t="str">
        <f>IF(B14="x","","Home Depot")</f>
        <v>Home Depot</v>
      </c>
      <c r="G32" s="70" t="str">
        <f>IF(B14="x","","10 ft length of 3/4 in. EMT for roll-up sides")</f>
        <v>10 ft length of 3/4 in. EMT for roll-up sides</v>
      </c>
      <c r="H32" s="35">
        <f>IF(B14="x","",3.87)</f>
        <v>3.87</v>
      </c>
      <c r="I32" s="35">
        <f>IF(B32="","",B32*H32)</f>
        <v>46.44</v>
      </c>
      <c r="J32" s="4" t="s">
        <v>11</v>
      </c>
    </row>
    <row r="33" spans="2:10" ht="15">
      <c r="B33" s="67">
        <f>IF(B32="","",ROUNDUP(B32/5,0))</f>
        <v>3</v>
      </c>
      <c r="C33" s="68" t="str">
        <f>IF(B32="","","each")</f>
        <v>each</v>
      </c>
      <c r="D33" s="77" t="str">
        <f>IF(B32="","","403636")</f>
        <v>403636</v>
      </c>
      <c r="E33" s="78"/>
      <c r="F33" s="69" t="str">
        <f>IF(B32="","","Home Depot")</f>
        <v>Home Depot</v>
      </c>
      <c r="G33" s="70" t="str">
        <f>IF(B32="","","3/4 in. EMT compression fittings for roll-ups, 5 pack")</f>
        <v>3/4 in. EMT compression fittings for roll-ups, 5 pack</v>
      </c>
      <c r="H33" s="35">
        <f>IF(B32="","",3.1)</f>
        <v>3.1</v>
      </c>
      <c r="I33" s="35">
        <f>IF(B33="","",B33*H33)</f>
        <v>9.3</v>
      </c>
      <c r="J33" s="4" t="s">
        <v>11</v>
      </c>
    </row>
    <row r="34" spans="2:9" ht="15">
      <c r="B34" s="59">
        <f>IF(B14="x","",D6)</f>
        <v>3</v>
      </c>
      <c r="C34" s="59" t="str">
        <f>IF(B14="x","","each")</f>
        <v>each</v>
      </c>
      <c r="D34" s="80" t="str">
        <f>IF(B14="x","","9150")</f>
        <v>9150</v>
      </c>
      <c r="E34" s="81"/>
      <c r="F34" s="65" t="str">
        <f>IF(B14="x","","Johnny's Selected Seeds")</f>
        <v>Johnny's Selected Seeds</v>
      </c>
      <c r="G34" s="66" t="str">
        <f>IF(B14="x","","Snap Clamps for ¾ in. EMT, 10 pack")</f>
        <v>Snap Clamps for ¾ in. EMT, 10 pack</v>
      </c>
      <c r="H34" s="62">
        <f>IF(B14="x","",5.25)</f>
        <v>5.25</v>
      </c>
      <c r="I34" s="62">
        <f>IF(B34="","",B34*H34)</f>
        <v>15.75</v>
      </c>
    </row>
    <row r="35" spans="2:14" ht="15">
      <c r="B35" s="49">
        <f>ROUNDUP(B36*2+25*(D6-1)/4,0)</f>
        <v>83</v>
      </c>
      <c r="C35" s="49" t="s">
        <v>8</v>
      </c>
      <c r="D35" s="75">
        <v>7040</v>
      </c>
      <c r="E35" s="76"/>
      <c r="F35" s="50" t="s">
        <v>10</v>
      </c>
      <c r="G35" s="71" t="s">
        <v>64</v>
      </c>
      <c r="H35" s="52">
        <v>1.95</v>
      </c>
      <c r="I35" s="52">
        <f t="shared" si="1"/>
        <v>161.85</v>
      </c>
      <c r="L35" s="58" t="s">
        <v>56</v>
      </c>
      <c r="M35" s="58" t="s">
        <v>57</v>
      </c>
      <c r="N35" s="58" t="s">
        <v>58</v>
      </c>
    </row>
    <row r="36" spans="2:14" ht="15">
      <c r="B36" s="49">
        <f>ROUNDUP((L36+M36+N36)/8,0)</f>
        <v>35</v>
      </c>
      <c r="C36" s="49" t="s">
        <v>8</v>
      </c>
      <c r="D36" s="75">
        <v>7041</v>
      </c>
      <c r="E36" s="76"/>
      <c r="F36" s="50" t="s">
        <v>10</v>
      </c>
      <c r="G36" s="71" t="s">
        <v>63</v>
      </c>
      <c r="H36" s="52">
        <v>10.15</v>
      </c>
      <c r="I36" s="52">
        <f t="shared" si="1"/>
        <v>355.25</v>
      </c>
      <c r="L36" s="58">
        <f>D6*25*2</f>
        <v>150</v>
      </c>
      <c r="M36" s="58">
        <f>15*2</f>
        <v>30</v>
      </c>
      <c r="N36" s="58">
        <f>D6*16*2</f>
        <v>96</v>
      </c>
    </row>
    <row r="37" spans="2:10" ht="15">
      <c r="B37" s="44">
        <f>D6</f>
        <v>3</v>
      </c>
      <c r="C37" s="44" t="s">
        <v>8</v>
      </c>
      <c r="D37" s="73">
        <v>162330</v>
      </c>
      <c r="E37" s="74"/>
      <c r="F37" s="26" t="s">
        <v>17</v>
      </c>
      <c r="G37" s="45" t="s">
        <v>50</v>
      </c>
      <c r="H37" s="46">
        <v>5.48</v>
      </c>
      <c r="I37" s="35">
        <f t="shared" si="1"/>
        <v>16.44</v>
      </c>
      <c r="J37" s="4" t="s">
        <v>11</v>
      </c>
    </row>
    <row r="38" spans="2:10" ht="15">
      <c r="B38" s="44">
        <f>IF(B14="x",ROUNDUP((B36*8+B29*10)/170,0),ROUNDUP((B36*8+B34*10+B29*10)/170,0))</f>
        <v>3</v>
      </c>
      <c r="C38" s="44" t="s">
        <v>8</v>
      </c>
      <c r="D38" s="73">
        <v>162330</v>
      </c>
      <c r="E38" s="74"/>
      <c r="F38" s="26" t="s">
        <v>17</v>
      </c>
      <c r="G38" s="72" t="s">
        <v>65</v>
      </c>
      <c r="H38" s="46">
        <v>5.48</v>
      </c>
      <c r="I38" s="35">
        <f>IF(H38="","",B38*H38)</f>
        <v>16.44</v>
      </c>
      <c r="J38" s="4" t="s">
        <v>11</v>
      </c>
    </row>
    <row r="39" spans="2:10" ht="15">
      <c r="B39" s="44">
        <v>2</v>
      </c>
      <c r="C39" s="44" t="s">
        <v>8</v>
      </c>
      <c r="D39" s="73">
        <v>461443</v>
      </c>
      <c r="E39" s="74"/>
      <c r="F39" s="26" t="s">
        <v>17</v>
      </c>
      <c r="G39" s="45" t="s">
        <v>52</v>
      </c>
      <c r="H39" s="46">
        <v>3.49</v>
      </c>
      <c r="I39" s="35">
        <f>IF(H39="","",B39*H39)</f>
        <v>6.98</v>
      </c>
      <c r="J39" s="4" t="s">
        <v>11</v>
      </c>
    </row>
    <row r="40" spans="2:10" ht="15">
      <c r="B40" s="44">
        <f>2*D10+20</f>
        <v>44</v>
      </c>
      <c r="C40" s="44" t="s">
        <v>8</v>
      </c>
      <c r="D40" s="73" t="s">
        <v>36</v>
      </c>
      <c r="E40" s="74"/>
      <c r="F40" s="26" t="s">
        <v>35</v>
      </c>
      <c r="G40" s="45" t="s">
        <v>34</v>
      </c>
      <c r="H40" s="46">
        <v>0.3</v>
      </c>
      <c r="I40" s="35">
        <f t="shared" si="1"/>
        <v>13.2</v>
      </c>
      <c r="J40" s="4" t="s">
        <v>11</v>
      </c>
    </row>
    <row r="41" spans="2:10" ht="15">
      <c r="B41" s="44">
        <f>B40-B42</f>
        <v>36</v>
      </c>
      <c r="C41" s="44" t="s">
        <v>8</v>
      </c>
      <c r="D41" s="73">
        <v>2769</v>
      </c>
      <c r="E41" s="74"/>
      <c r="F41" s="26" t="s">
        <v>33</v>
      </c>
      <c r="G41" s="45" t="s">
        <v>41</v>
      </c>
      <c r="H41" s="46">
        <v>0.12</v>
      </c>
      <c r="I41" s="35">
        <f t="shared" si="1"/>
        <v>4.32</v>
      </c>
      <c r="J41" s="4" t="s">
        <v>11</v>
      </c>
    </row>
    <row r="42" spans="2:10" ht="30">
      <c r="B42" s="44">
        <v>8</v>
      </c>
      <c r="C42" s="44" t="s">
        <v>8</v>
      </c>
      <c r="D42" s="73">
        <v>2772</v>
      </c>
      <c r="E42" s="74"/>
      <c r="F42" s="26" t="s">
        <v>33</v>
      </c>
      <c r="G42" s="47" t="s">
        <v>51</v>
      </c>
      <c r="H42" s="46">
        <v>0.14</v>
      </c>
      <c r="I42" s="35">
        <f t="shared" si="1"/>
        <v>1.12</v>
      </c>
      <c r="J42" s="4" t="s">
        <v>11</v>
      </c>
    </row>
    <row r="43" spans="2:10" ht="15">
      <c r="B43" s="44">
        <f>D10</f>
        <v>12</v>
      </c>
      <c r="C43" s="44" t="s">
        <v>8</v>
      </c>
      <c r="D43" s="73">
        <v>2777</v>
      </c>
      <c r="E43" s="74"/>
      <c r="F43" s="26" t="s">
        <v>33</v>
      </c>
      <c r="G43" s="45" t="s">
        <v>42</v>
      </c>
      <c r="H43" s="46">
        <v>0.21</v>
      </c>
      <c r="I43" s="35">
        <f>IF(H43="","",B43*H43)</f>
        <v>2.52</v>
      </c>
      <c r="J43" s="4" t="s">
        <v>11</v>
      </c>
    </row>
    <row r="44" spans="2:10" ht="15">
      <c r="B44" s="44">
        <f>B41+B42+B43+4</f>
        <v>60</v>
      </c>
      <c r="C44" s="44" t="s">
        <v>8</v>
      </c>
      <c r="D44" s="73">
        <v>2649</v>
      </c>
      <c r="E44" s="74"/>
      <c r="F44" s="26" t="s">
        <v>33</v>
      </c>
      <c r="G44" s="45" t="s">
        <v>53</v>
      </c>
      <c r="H44" s="46">
        <v>0.05</v>
      </c>
      <c r="I44" s="35">
        <f t="shared" si="1"/>
        <v>3</v>
      </c>
      <c r="J44" s="4" t="s">
        <v>11</v>
      </c>
    </row>
    <row r="45" spans="2:10" ht="15">
      <c r="B45" s="44">
        <f>2*D10+4</f>
        <v>28</v>
      </c>
      <c r="C45" s="44" t="s">
        <v>8</v>
      </c>
      <c r="D45" s="73" t="s">
        <v>38</v>
      </c>
      <c r="E45" s="74"/>
      <c r="F45" s="26" t="s">
        <v>35</v>
      </c>
      <c r="G45" s="45" t="s">
        <v>37</v>
      </c>
      <c r="H45" s="46">
        <v>0.68</v>
      </c>
      <c r="I45" s="35">
        <f t="shared" si="1"/>
        <v>19.040000000000003</v>
      </c>
      <c r="J45" s="4" t="s">
        <v>11</v>
      </c>
    </row>
    <row r="46" spans="2:10" ht="15">
      <c r="B46" s="44">
        <f>B45</f>
        <v>28</v>
      </c>
      <c r="C46" s="44" t="s">
        <v>8</v>
      </c>
      <c r="D46" s="73" t="s">
        <v>39</v>
      </c>
      <c r="E46" s="74"/>
      <c r="F46" s="26" t="s">
        <v>35</v>
      </c>
      <c r="G46" s="45" t="s">
        <v>54</v>
      </c>
      <c r="H46" s="46">
        <v>0.22</v>
      </c>
      <c r="I46" s="35">
        <f t="shared" si="1"/>
        <v>6.16</v>
      </c>
      <c r="J46" s="4" t="s">
        <v>11</v>
      </c>
    </row>
    <row r="47" spans="2:9" ht="15">
      <c r="B47" s="49">
        <v>1</v>
      </c>
      <c r="C47" s="49" t="s">
        <v>40</v>
      </c>
      <c r="D47" s="75">
        <f>IF(D7&lt;35,7176,IF(D7&lt;70,7177,IF(D7&lt;95,7178,IF(D7&lt;120,7179,""))))</f>
        <v>7177</v>
      </c>
      <c r="E47" s="76"/>
      <c r="F47" s="50" t="s">
        <v>10</v>
      </c>
      <c r="G47" s="51" t="str">
        <f>IF(D47=7176,"28 x 65 ft. Tufflite IV Greenhouse Film",IF(D47=7177,"28 x 100 ft. Tufflite IV Greenhouse Film",IF(D47=7178,"28 x 125 ft. Tufflite IV Greenhouse Film",IF(D47=7179,"28 x 150 ft. Tufflite IV Greenhouse Film",""))))</f>
        <v>28 x 100 ft. Tufflite IV Greenhouse Film</v>
      </c>
      <c r="H47" s="52">
        <f>IF(D47=7176,229,IF(D47=7177,345,IF(D47=7178,435,IF(D47=7179,499,""))))</f>
        <v>345</v>
      </c>
      <c r="I47" s="52">
        <f t="shared" si="1"/>
        <v>345</v>
      </c>
    </row>
    <row r="48" spans="2:10" ht="15">
      <c r="B48" s="44">
        <f>IF(AND(B15="X",B16=0),2*D6,"")</f>
      </c>
      <c r="C48" s="44">
        <f>IF(AND(B15="X",B16=0),"each","")</f>
      </c>
      <c r="D48" s="73">
        <f>IF(AND(B15="X",B16=0),"103667","")</f>
      </c>
      <c r="E48" s="74"/>
      <c r="F48" s="63">
        <f>IF(AND(B15="X",B16=0),"Home Depot","")</f>
      </c>
      <c r="G48" s="45">
        <f>IF(AND(B15="X",B16=0),"3/4 in. iron water pipe T fitting","")</f>
      </c>
      <c r="H48" s="46">
        <f>IF(AND(B15="X",B16=0),3.03,"")</f>
      </c>
      <c r="I48" s="35">
        <f t="shared" si="1"/>
      </c>
      <c r="J48" s="4" t="s">
        <v>11</v>
      </c>
    </row>
    <row r="49" spans="2:9" ht="15">
      <c r="B49" s="49">
        <f>IF(AND(B16="X",B15=0),2,"")</f>
        <v>2</v>
      </c>
      <c r="C49" s="49" t="str">
        <f>IF(AND(B16="X",B15=0),"each","")</f>
        <v>each</v>
      </c>
      <c r="D49" s="75" t="str">
        <f>IF(AND(B16="X",B15=0),"7033","")</f>
        <v>7033</v>
      </c>
      <c r="E49" s="76"/>
      <c r="F49" s="64" t="str">
        <f>IF(AND(B16="X",B15=0),"Johnny's Selected Seeds","")</f>
        <v>Johnny's Selected Seeds</v>
      </c>
      <c r="G49" s="51" t="str">
        <f>IF(AND(B16="X",B15=0),"Sidewall Hand Crank","")</f>
        <v>Sidewall Hand Crank</v>
      </c>
      <c r="H49" s="52">
        <f>IF(AND(B16="X",B15=0),159,"")</f>
        <v>159</v>
      </c>
      <c r="I49" s="52">
        <f>IF(B49="","",B49*H49)</f>
        <v>318</v>
      </c>
    </row>
    <row r="50" spans="2:10" ht="15">
      <c r="B50" s="44">
        <f>IF(AND(B18="X",B19=0),4*D6,"")</f>
      </c>
      <c r="C50" s="44">
        <f>IF(AND(B18="X",B19=0),"each","")</f>
      </c>
      <c r="D50" s="73">
        <f>IF(AND(B18="X",B19=0),"106151","")</f>
      </c>
      <c r="E50" s="74"/>
      <c r="F50" s="63">
        <f>IF(AND(B18="X",B19=0),"Home Depot","")</f>
      </c>
      <c r="G50" s="45">
        <f>IF(AND(B18="X",B19=0),"1/2 in. x 2 ft. rebar","")</f>
      </c>
      <c r="H50" s="46">
        <f>IF(AND(B18="X",B19=0),1.6,"")</f>
      </c>
      <c r="I50" s="35">
        <f t="shared" si="1"/>
      </c>
      <c r="J50" s="4" t="s">
        <v>11</v>
      </c>
    </row>
    <row r="51" spans="2:12" ht="15">
      <c r="B51" s="44">
        <f>IF(AND(B19="X",B18=0),D6,"")</f>
        <v>3</v>
      </c>
      <c r="C51" s="44" t="str">
        <f>IF(AND(B19="X",B18=0),"each","")</f>
        <v>each</v>
      </c>
      <c r="D51" s="73" t="str">
        <f>IF(AND(B19="X",B18=0),"202719050","")</f>
        <v>202719050</v>
      </c>
      <c r="E51" s="74"/>
      <c r="F51" s="63" t="str">
        <f>IF(AND(B19="X",B18=0),"Home Depot","")</f>
        <v>Home Depot</v>
      </c>
      <c r="G51" s="45" t="str">
        <f>IF(AND(B19="X",B18=0),"30 in. earth anchors, 4 pack","")</f>
        <v>30 in. earth anchors, 4 pack</v>
      </c>
      <c r="H51" s="46">
        <f>IF(AND(B19="X",B18=0),19.99,"")</f>
        <v>19.99</v>
      </c>
      <c r="I51" s="35">
        <f t="shared" si="1"/>
        <v>59.97</v>
      </c>
      <c r="J51" s="4" t="s">
        <v>11</v>
      </c>
      <c r="L51" s="57"/>
    </row>
    <row r="52" spans="2:10" ht="15">
      <c r="B52" s="44">
        <f>IF(B51="","",D6*4)</f>
        <v>12</v>
      </c>
      <c r="C52" s="44" t="str">
        <f>IF(B51="","","each")</f>
        <v>each</v>
      </c>
      <c r="D52" s="73" t="str">
        <f>IF(B51="","","12280")</f>
        <v>12280</v>
      </c>
      <c r="E52" s="74"/>
      <c r="F52" s="63" t="str">
        <f>IF(B51="","","Bolt Depot")</f>
        <v>Bolt Depot</v>
      </c>
      <c r="G52" s="48" t="str">
        <f>IF(B51="","","5/16 - 18 x 1.75 in. eye bolt")</f>
        <v>5/16 - 18 x 1.75 in. eye bolt</v>
      </c>
      <c r="H52" s="46">
        <f>IF(B51="","",0.98)</f>
        <v>0.98</v>
      </c>
      <c r="I52" s="35">
        <f t="shared" si="1"/>
        <v>11.76</v>
      </c>
      <c r="J52" s="4" t="s">
        <v>11</v>
      </c>
    </row>
    <row r="53" spans="2:10" ht="15">
      <c r="B53" s="44">
        <f>IF(B51="","",ROUNDUP(D6*4/5,0))</f>
        <v>3</v>
      </c>
      <c r="C53" s="44" t="str">
        <f>IF(B51="","","each")</f>
        <v>each</v>
      </c>
      <c r="D53" s="73" t="str">
        <f>IF(B51="","","321922")</f>
        <v>321922</v>
      </c>
      <c r="E53" s="74"/>
      <c r="F53" s="63" t="str">
        <f>IF(B51="","","Home Depot")</f>
        <v>Home Depot</v>
      </c>
      <c r="G53" s="45" t="str">
        <f>IF(B51="","","5/16-18 x 8-7/8 in. hook and hook turnbuckle, 5 pack")</f>
        <v>5/16-18 x 8-7/8 in. hook and hook turnbuckle, 5 pack</v>
      </c>
      <c r="H53" s="46">
        <f>IF(B51="","",13.99)</f>
        <v>13.99</v>
      </c>
      <c r="I53" s="35">
        <f t="shared" si="1"/>
        <v>41.97</v>
      </c>
      <c r="J53" s="4" t="s">
        <v>11</v>
      </c>
    </row>
    <row r="54" spans="2:9" ht="18.75">
      <c r="B54" s="13" t="s">
        <v>14</v>
      </c>
      <c r="D54" s="36"/>
      <c r="E54" s="37"/>
      <c r="F54" s="7"/>
      <c r="G54" s="7"/>
      <c r="H54" s="11" t="s">
        <v>5</v>
      </c>
      <c r="I54" s="12">
        <f>SUM(I22:I53)</f>
        <v>2255.2799999999997</v>
      </c>
    </row>
    <row r="55" spans="2:9" ht="15">
      <c r="B55" s="13"/>
      <c r="E55" s="7"/>
      <c r="F55" s="7"/>
      <c r="G55" s="7"/>
      <c r="H55" s="8"/>
      <c r="I55" s="8"/>
    </row>
    <row r="56" spans="2:9" ht="15">
      <c r="B56" s="7" t="s">
        <v>20</v>
      </c>
      <c r="G56" s="7"/>
      <c r="H56" s="4"/>
      <c r="I56" s="4"/>
    </row>
    <row r="57" spans="2:9" ht="15">
      <c r="B57" s="13" t="s">
        <v>18</v>
      </c>
      <c r="G57" s="7"/>
      <c r="H57" s="8"/>
      <c r="I57" s="8"/>
    </row>
    <row r="58" spans="7:9" ht="15">
      <c r="G58" s="7"/>
      <c r="H58" s="8"/>
      <c r="I58" s="8" t="s">
        <v>62</v>
      </c>
    </row>
    <row r="60" spans="7:9" ht="15">
      <c r="G60" s="7"/>
      <c r="H60" s="8"/>
      <c r="I60" s="8"/>
    </row>
    <row r="61" spans="7:9" ht="15">
      <c r="G61" s="7"/>
      <c r="H61" s="8"/>
      <c r="I61" s="8"/>
    </row>
    <row r="62" spans="5:9" ht="15">
      <c r="E62" s="7"/>
      <c r="F62" s="7"/>
      <c r="G62" s="7"/>
      <c r="H62" s="8"/>
      <c r="I62" s="8"/>
    </row>
    <row r="63" spans="5:9" ht="15">
      <c r="E63" s="7"/>
      <c r="F63" s="7"/>
      <c r="G63" s="7"/>
      <c r="H63" s="8"/>
      <c r="I63" s="8"/>
    </row>
    <row r="64" spans="5:9" ht="15">
      <c r="E64" s="7"/>
      <c r="F64" s="7"/>
      <c r="G64" s="7"/>
      <c r="H64" s="8"/>
      <c r="I64" s="8"/>
    </row>
  </sheetData>
  <sheetProtection/>
  <mergeCells count="43">
    <mergeCell ref="B3:I3"/>
    <mergeCell ref="D34:E34"/>
    <mergeCell ref="B2:I2"/>
    <mergeCell ref="B4:E4"/>
    <mergeCell ref="B7:C7"/>
    <mergeCell ref="B9:C9"/>
    <mergeCell ref="D21:E21"/>
    <mergeCell ref="B8:C8"/>
    <mergeCell ref="G11:G12"/>
    <mergeCell ref="G18:G19"/>
    <mergeCell ref="G14:G16"/>
    <mergeCell ref="D39:E39"/>
    <mergeCell ref="D22:E22"/>
    <mergeCell ref="B10:C10"/>
    <mergeCell ref="D32:E32"/>
    <mergeCell ref="D35:E35"/>
    <mergeCell ref="D36:E36"/>
    <mergeCell ref="D38:E38"/>
    <mergeCell ref="D29:E29"/>
    <mergeCell ref="D28:E28"/>
    <mergeCell ref="D44:E44"/>
    <mergeCell ref="D45:E45"/>
    <mergeCell ref="D23:E23"/>
    <mergeCell ref="D24:E24"/>
    <mergeCell ref="D25:E25"/>
    <mergeCell ref="D26:E26"/>
    <mergeCell ref="D41:E41"/>
    <mergeCell ref="D27:E27"/>
    <mergeCell ref="D30:E30"/>
    <mergeCell ref="D31:E31"/>
    <mergeCell ref="D33:E33"/>
    <mergeCell ref="D43:E43"/>
    <mergeCell ref="D37:E37"/>
    <mergeCell ref="D40:E40"/>
    <mergeCell ref="D42:E42"/>
    <mergeCell ref="D46:E46"/>
    <mergeCell ref="D53:E53"/>
    <mergeCell ref="D52:E52"/>
    <mergeCell ref="D49:E49"/>
    <mergeCell ref="D51:E51"/>
    <mergeCell ref="D50:E50"/>
    <mergeCell ref="D48:E48"/>
    <mergeCell ref="D47:E47"/>
  </mergeCells>
  <hyperlinks>
    <hyperlink ref="D29:E29" r:id="rId1" display="http://www.johnnyseeds.com/search.aspx?searchterm=snap+clamps&amp;isusersearch=1"/>
    <hyperlink ref="D30:E30" r:id="rId2" display="http://www.homedepot.com/p/Allied-Tube-Conduit-3-4-in-x-10-ft-Electric-Metallic-Tube-Conduit-101550/100400406"/>
    <hyperlink ref="D31:E32" r:id="rId3" display="http://www.homedepot.com/p/Allied-Tube-Conduit-3-4-in-x-10-ft-Electric-Metallic-Tube-Conduit-101550/100400406"/>
    <hyperlink ref="D35:E35" r:id="rId4" display="http://www.johnnyseeds.com/p-8923-wiggle-wire.aspx"/>
    <hyperlink ref="D36:E36" r:id="rId5" display="http://www.johnnyseeds.com/p-8884-wiggle-wire-channel.aspx"/>
    <hyperlink ref="D37:E37" r:id="rId6" display="http://www.homedepot.com/p/Teks-10-x-3-4-in-Zinc-Plated-Steel-Hex-Washer-Head-Self-Tapping-Screws-150-Pack-21320/100138326"/>
    <hyperlink ref="D40:E40" r:id="rId7" display="BB13"/>
    <hyperlink ref="D45:E45" r:id="rId8" display="ERC1313"/>
    <hyperlink ref="D41:E41" r:id="rId9" display="http://www.boltdepot.com/Product-Details.aspx?product=2769"/>
    <hyperlink ref="D42:E42" r:id="rId10" display="http://www.boltdepot.com/Product-Details.aspx?product=2772"/>
    <hyperlink ref="D44:E44" r:id="rId11" display="http://www.boltdepot.com/Product-Details.aspx?product=2649"/>
    <hyperlink ref="D47:E47" r:id="rId12" display="http://www.johnnyseeds.com/search.aspx?searchterm=tufflite+28&amp;isusersearch=1"/>
    <hyperlink ref="D49:E49" r:id="rId13" display="http://www.johnnyseeds.com/p-8878-sidewall-hand-crank.aspx"/>
    <hyperlink ref="D33:E33" r:id="rId14" display="http://www.homedepot.com/p/Halex-3-4-in-Electric-Metallic-Tube-EMT-Compression-Coupling-5-Pack-20222/100178967"/>
    <hyperlink ref="D43:E43" r:id="rId15" display="http://www.boltdepot.com/Product-Details.aspx?product=2777"/>
    <hyperlink ref="D48:E48" r:id="rId16" display="http://www.homedepot.com/p/Mueller-Global-3-4-in-Black-Malleable-Iron-Threaded-Tee-520-604HN/100073073"/>
    <hyperlink ref="D27:E27" r:id="rId17" display="http://www.homedepot.com/p/t/100322532?catalogId=10053&amp;langId=-1&amp;keyword=top+rail&amp;storeId=10051&amp;N=5yc1v&amp;R=100322532"/>
    <hyperlink ref="D24:E24" r:id="rId18" display="http://www.homedepot.com/h_d1/N-5yc1v/R-100322532/h_d2/ProductDisplay?catalogId=10053&amp;langId=-1&amp;keyword=top+rail&amp;storeId=10051"/>
    <hyperlink ref="D23:E23" r:id="rId19" display="http://www.homedepot.com/p/t/100322532?catalogId=10053&amp;langId=-1&amp;keyword=top+rail&amp;storeId=10051&amp;N=5yc1v&amp;R=100322532"/>
    <hyperlink ref="D25:E25" r:id="rId20" display="http://www.homedepot.com/p/t/100322532?catalogId=10053&amp;langId=-1&amp;keyword=top+rail&amp;storeId=10051&amp;N=5yc1v&amp;R=100322532"/>
    <hyperlink ref="D26:E26" r:id="rId21" display="http://www.homedepot.com/p/t/100322532?catalogId=10053&amp;langId=-1&amp;keyword=top+rail&amp;storeId=10051&amp;N=5yc1v&amp;R=100322532"/>
    <hyperlink ref="D28:E28" r:id="rId22" display="http://www.homedepot.com/p/t/100322532?catalogId=10053&amp;langId=-1&amp;keyword=top+rail&amp;storeId=10051&amp;N=5yc1v&amp;R=100322532"/>
    <hyperlink ref="D51:E51" r:id="rId23" display="http://www.homedepot.com/p/ShelterLogic-ShelterAuger-30-in-Earth-Anchors-Set-4-Piece-10075-0/202719050"/>
    <hyperlink ref="D34:E34" r:id="rId24" display="http://www.johnnyseeds.com/p-8293-snap-clamps-for-emt-or-pvc.aspx"/>
    <hyperlink ref="D38:E38" r:id="rId25" display="http://www.homedepot.com/p/Teks-10-x-3-4-in-Zinc-Plated-Steel-Hex-Washer-Head-Self-Tapping-Screws-150-Pack-21320/100138326"/>
    <hyperlink ref="D39:E39" r:id="rId26" display="http://www.homedepot.com/p/Unbranded-1-in-x-2-in-x-1-1-2-ft-Untreated-Pine-Grade-Stakes-12-Pack-461443/203316903"/>
    <hyperlink ref="D52:E52" r:id="rId27" display="http://www.boltdepot.com/Product-Details.aspx?product=12280"/>
    <hyperlink ref="D53:E53" r:id="rId28" display="http://www.homedepot.com/p/The-Hillman-Group-5-16-18-in-x-8-7-8-in-Zinc-Plated-Hook-and-Hook-Turnbuckle-5-Pack-321922/203810235"/>
    <hyperlink ref="D22:E22" r:id="rId29" display="http://www.johnnyseeds.com/p-9341-quick-hoops-gothic-high-tunnel-bender.aspx"/>
  </hyperlinks>
  <printOptions horizontalCentered="1"/>
  <pageMargins left="0.2" right="0.2" top="0.5" bottom="0.5" header="0.3" footer="0.3"/>
  <pageSetup fitToHeight="1" fitToWidth="1" horizontalDpi="600" verticalDpi="600" orientation="portrait" scale="78" r:id="rId31"/>
  <headerFooter>
    <oddFooter>&amp;C&amp;"Arial,Italic"&amp;9Copyright © 2014 Johnny’s Selected Seeds. All rights reserved.</oddFooter>
  </headerFooter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2018-06-11T18:24:26Z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