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filterPrivacy="1" defaultThemeVersion="124226"/>
  <bookViews>
    <workbookView xWindow="-120" yWindow="15" windowWidth="13170" windowHeight="8655" xr2:uid="{00000000-000D-0000-FFFF-FFFF00000000}"/>
  </bookViews>
  <sheets>
    <sheet name="Itemized Listing" sheetId="4" r:id="rId1"/>
  </sheets>
  <definedNames>
    <definedName name="_xlnm._FilterDatabase" localSheetId="0" hidden="1">'Itemized Listing'!$B$24:$I$109</definedName>
    <definedName name="_xlnm.Print_Area" localSheetId="0">'Itemized Listing'!$B$1:$I$112</definedName>
    <definedName name="_xlnm.Print_Titles" localSheetId="0">'Itemized Listing'!$24:$24</definedName>
  </definedNames>
  <calcPr calcId="171027"/>
</workbook>
</file>

<file path=xl/calcChain.xml><?xml version="1.0" encoding="utf-8"?>
<calcChain xmlns="http://schemas.openxmlformats.org/spreadsheetml/2006/main">
  <c r="B49" i="4" l="1"/>
  <c r="S77" i="4" l="1"/>
  <c r="T77" i="4" s="1"/>
  <c r="S76" i="4"/>
  <c r="T76" i="4" s="1"/>
  <c r="S75" i="4"/>
  <c r="T75" i="4" s="1"/>
  <c r="S74" i="4"/>
  <c r="T74" i="4" s="1"/>
  <c r="H86" i="4"/>
  <c r="B86" i="4"/>
  <c r="G86" i="4"/>
  <c r="D86" i="4"/>
  <c r="B103" i="4"/>
  <c r="B104" i="4" s="1"/>
  <c r="G13" i="4"/>
  <c r="D57" i="4"/>
  <c r="G57" i="4" s="1"/>
  <c r="H107" i="4"/>
  <c r="H106" i="4"/>
  <c r="H105" i="4"/>
  <c r="G105" i="4"/>
  <c r="D105" i="4"/>
  <c r="H104" i="4"/>
  <c r="H101" i="4"/>
  <c r="H100" i="4"/>
  <c r="D99" i="4"/>
  <c r="H97" i="4"/>
  <c r="H96" i="4"/>
  <c r="G95" i="4"/>
  <c r="B93" i="4"/>
  <c r="G93" i="4"/>
  <c r="H92" i="4"/>
  <c r="H90" i="4"/>
  <c r="H89" i="4"/>
  <c r="H88" i="4"/>
  <c r="H85" i="4"/>
  <c r="G85" i="4"/>
  <c r="H84" i="4"/>
  <c r="H83" i="4"/>
  <c r="D83" i="4"/>
  <c r="H82" i="4"/>
  <c r="G82" i="4"/>
  <c r="G81" i="4"/>
  <c r="D82" i="4"/>
  <c r="H81" i="4"/>
  <c r="H80" i="4"/>
  <c r="H74" i="4"/>
  <c r="D74" i="4"/>
  <c r="G80" i="4"/>
  <c r="H79" i="4"/>
  <c r="D78" i="4"/>
  <c r="H77" i="4"/>
  <c r="H75" i="4"/>
  <c r="H66" i="4"/>
  <c r="D60" i="4"/>
  <c r="H60" i="4"/>
  <c r="G74" i="4"/>
  <c r="H65" i="4"/>
  <c r="H72" i="4"/>
  <c r="H70" i="4"/>
  <c r="D68" i="4"/>
  <c r="H67" i="4"/>
  <c r="H64" i="4"/>
  <c r="D61" i="4"/>
  <c r="G60" i="4"/>
  <c r="H47" i="4"/>
  <c r="B71" i="4"/>
  <c r="B61" i="4"/>
  <c r="B65" i="4"/>
  <c r="B64" i="4"/>
  <c r="B62" i="4"/>
  <c r="G70" i="4"/>
  <c r="F70" i="4"/>
  <c r="D70" i="4"/>
  <c r="C70" i="4"/>
  <c r="B70" i="4"/>
  <c r="F67" i="4"/>
  <c r="B63" i="4"/>
  <c r="H63" i="4"/>
  <c r="D63" i="4"/>
  <c r="G63" i="4"/>
  <c r="F63" i="4"/>
  <c r="C63" i="4"/>
  <c r="G61" i="4"/>
  <c r="H71" i="4"/>
  <c r="D71" i="4"/>
  <c r="G71" i="4"/>
  <c r="D100" i="4"/>
  <c r="H99" i="4"/>
  <c r="H98" i="4"/>
  <c r="G100" i="4"/>
  <c r="F100" i="4"/>
  <c r="C100" i="4"/>
  <c r="B100" i="4"/>
  <c r="G99" i="4"/>
  <c r="F99" i="4"/>
  <c r="F79" i="4"/>
  <c r="B99" i="4"/>
  <c r="C99" i="4"/>
  <c r="D53" i="4"/>
  <c r="G53" i="4" s="1"/>
  <c r="B53" i="4" s="1"/>
  <c r="C53" i="4" s="1"/>
  <c r="I32" i="4"/>
  <c r="I39" i="4"/>
  <c r="G101" i="4"/>
  <c r="G96" i="4"/>
  <c r="G94" i="4"/>
  <c r="G91" i="4"/>
  <c r="G90" i="4"/>
  <c r="G89" i="4"/>
  <c r="G87" i="4"/>
  <c r="G84" i="4"/>
  <c r="G78" i="4"/>
  <c r="G76" i="4"/>
  <c r="G75" i="4"/>
  <c r="G65" i="4"/>
  <c r="G64" i="4"/>
  <c r="G62" i="4"/>
  <c r="G69" i="4"/>
  <c r="G68" i="4"/>
  <c r="G67" i="4"/>
  <c r="F78" i="4"/>
  <c r="F77" i="4"/>
  <c r="F76" i="4"/>
  <c r="F75" i="4"/>
  <c r="F74" i="4"/>
  <c r="H78" i="4"/>
  <c r="H76" i="4"/>
  <c r="C101" i="4"/>
  <c r="C98" i="4"/>
  <c r="C97" i="4"/>
  <c r="C96" i="4"/>
  <c r="C95" i="4"/>
  <c r="C94" i="4"/>
  <c r="C93" i="4"/>
  <c r="C92" i="4"/>
  <c r="C91" i="4"/>
  <c r="C90" i="4"/>
  <c r="C89" i="4"/>
  <c r="C88" i="4"/>
  <c r="C87" i="4"/>
  <c r="C86" i="4"/>
  <c r="C85" i="4"/>
  <c r="C84" i="4"/>
  <c r="C83" i="4"/>
  <c r="C82" i="4"/>
  <c r="C81" i="4"/>
  <c r="C80" i="4"/>
  <c r="C79" i="4"/>
  <c r="C78" i="4"/>
  <c r="C77" i="4"/>
  <c r="C76" i="4"/>
  <c r="C75" i="4"/>
  <c r="C74" i="4"/>
  <c r="D79" i="4"/>
  <c r="D77" i="4"/>
  <c r="D76" i="4"/>
  <c r="D75" i="4"/>
  <c r="B101" i="4"/>
  <c r="D101" i="4"/>
  <c r="F101" i="4"/>
  <c r="F92" i="4"/>
  <c r="D98" i="4"/>
  <c r="G98" i="4"/>
  <c r="B97" i="4"/>
  <c r="D97" i="4"/>
  <c r="G97" i="4"/>
  <c r="B84" i="4"/>
  <c r="B96" i="4"/>
  <c r="D96" i="4"/>
  <c r="B95" i="4"/>
  <c r="D95" i="4"/>
  <c r="H95" i="4"/>
  <c r="H94" i="4"/>
  <c r="D94" i="4"/>
  <c r="B94" i="4"/>
  <c r="D93" i="4"/>
  <c r="H93" i="4"/>
  <c r="B92" i="4"/>
  <c r="D92" i="4"/>
  <c r="G92" i="4"/>
  <c r="D91" i="4"/>
  <c r="B91" i="4"/>
  <c r="H91" i="4"/>
  <c r="D90" i="4"/>
  <c r="B90" i="4"/>
  <c r="B81" i="4"/>
  <c r="D89" i="4"/>
  <c r="B89" i="4"/>
  <c r="B87" i="4"/>
  <c r="D87" i="4"/>
  <c r="H87" i="4"/>
  <c r="B77" i="4"/>
  <c r="B85" i="4"/>
  <c r="D85" i="4"/>
  <c r="D84" i="4"/>
  <c r="D88" i="4"/>
  <c r="B88" i="4"/>
  <c r="G88" i="4"/>
  <c r="B76" i="4"/>
  <c r="B75" i="4"/>
  <c r="G79" i="4"/>
  <c r="G77" i="4"/>
  <c r="B83" i="4"/>
  <c r="G83" i="4"/>
  <c r="D81" i="4"/>
  <c r="D80" i="4"/>
  <c r="B80" i="4"/>
  <c r="F80" i="4"/>
  <c r="B74" i="4"/>
  <c r="B47" i="4"/>
  <c r="I47" i="4" s="1"/>
  <c r="B42" i="4"/>
  <c r="I42" i="4" s="1"/>
  <c r="D58" i="4"/>
  <c r="H58" i="4" s="1"/>
  <c r="F58" i="4"/>
  <c r="F57" i="4"/>
  <c r="G20" i="4"/>
  <c r="B66" i="4"/>
  <c r="C66" i="4"/>
  <c r="D66" i="4"/>
  <c r="F66" i="4"/>
  <c r="G66" i="4"/>
  <c r="B67" i="4"/>
  <c r="C67" i="4"/>
  <c r="D67" i="4"/>
  <c r="B68" i="4"/>
  <c r="C68" i="4"/>
  <c r="F68" i="4"/>
  <c r="H68" i="4"/>
  <c r="B69" i="4"/>
  <c r="C69" i="4"/>
  <c r="D69" i="4"/>
  <c r="F69" i="4"/>
  <c r="H69" i="4"/>
  <c r="I69" i="4" s="1"/>
  <c r="B72" i="4"/>
  <c r="C72" i="4"/>
  <c r="D72" i="4"/>
  <c r="F72" i="4"/>
  <c r="G72" i="4"/>
  <c r="C61" i="4"/>
  <c r="F61" i="4"/>
  <c r="H61" i="4"/>
  <c r="C62" i="4"/>
  <c r="D62" i="4"/>
  <c r="F62" i="4"/>
  <c r="H62" i="4"/>
  <c r="C64" i="4"/>
  <c r="D64" i="4"/>
  <c r="F64" i="4"/>
  <c r="C65" i="4"/>
  <c r="D65" i="4"/>
  <c r="F65" i="4"/>
  <c r="B60" i="4"/>
  <c r="C60" i="4"/>
  <c r="F60" i="4"/>
  <c r="C71" i="4"/>
  <c r="F71" i="4"/>
  <c r="A13" i="4"/>
  <c r="F98" i="4"/>
  <c r="B98" i="4"/>
  <c r="F97" i="4"/>
  <c r="F96" i="4"/>
  <c r="F86" i="4"/>
  <c r="F95" i="4"/>
  <c r="F82" i="4"/>
  <c r="B82" i="4"/>
  <c r="F94" i="4"/>
  <c r="F93" i="4"/>
  <c r="F91" i="4"/>
  <c r="F90" i="4"/>
  <c r="F89" i="4"/>
  <c r="F87" i="4"/>
  <c r="F85" i="4"/>
  <c r="F84" i="4"/>
  <c r="F88" i="4"/>
  <c r="F83" i="4"/>
  <c r="F81" i="4"/>
  <c r="G17" i="4"/>
  <c r="H108" i="4"/>
  <c r="G108" i="4"/>
  <c r="F108" i="4"/>
  <c r="D108" i="4"/>
  <c r="C108" i="4"/>
  <c r="G107" i="4"/>
  <c r="F107" i="4"/>
  <c r="D107" i="4"/>
  <c r="C107" i="4"/>
  <c r="B107" i="4"/>
  <c r="G106" i="4"/>
  <c r="F106" i="4"/>
  <c r="D106" i="4"/>
  <c r="C106" i="4"/>
  <c r="B106" i="4"/>
  <c r="F105" i="4"/>
  <c r="C105" i="4"/>
  <c r="B105" i="4"/>
  <c r="G104" i="4"/>
  <c r="F104" i="4"/>
  <c r="D104" i="4"/>
  <c r="C104" i="4"/>
  <c r="G103" i="4"/>
  <c r="F103" i="4"/>
  <c r="D103" i="4"/>
  <c r="C103" i="4"/>
  <c r="B31" i="4"/>
  <c r="I31" i="4" s="1"/>
  <c r="I5" i="4"/>
  <c r="D10" i="4"/>
  <c r="D11" i="4" s="1"/>
  <c r="I27" i="4"/>
  <c r="I26" i="4"/>
  <c r="B37" i="4" l="1"/>
  <c r="B33" i="4"/>
  <c r="I25" i="4"/>
  <c r="T79" i="4"/>
  <c r="B54" i="4" s="1"/>
  <c r="S79" i="4"/>
  <c r="B55" i="4" s="1"/>
  <c r="I55" i="4" s="1"/>
  <c r="I49" i="4"/>
  <c r="I68" i="4"/>
  <c r="I88" i="4"/>
  <c r="I97" i="4"/>
  <c r="I90" i="4"/>
  <c r="I89" i="4"/>
  <c r="H57" i="4"/>
  <c r="I95" i="4"/>
  <c r="F53" i="4"/>
  <c r="I106" i="4"/>
  <c r="I60" i="4"/>
  <c r="I83" i="4"/>
  <c r="I94" i="4"/>
  <c r="I77" i="4"/>
  <c r="I72" i="4"/>
  <c r="I62" i="4"/>
  <c r="I71" i="4"/>
  <c r="I65" i="4"/>
  <c r="B79" i="4"/>
  <c r="I79" i="4" s="1"/>
  <c r="I86" i="4"/>
  <c r="I76" i="4"/>
  <c r="I98" i="4"/>
  <c r="I105" i="4"/>
  <c r="B78" i="4"/>
  <c r="I78" i="4" s="1"/>
  <c r="I99" i="4"/>
  <c r="I80" i="4"/>
  <c r="I84" i="4"/>
  <c r="I91" i="4"/>
  <c r="I81" i="4"/>
  <c r="I82" i="4"/>
  <c r="I96" i="4"/>
  <c r="I85" i="4"/>
  <c r="I100" i="4"/>
  <c r="I63" i="4"/>
  <c r="I93" i="4"/>
  <c r="I87" i="4"/>
  <c r="I74" i="4"/>
  <c r="I92" i="4"/>
  <c r="I101" i="4"/>
  <c r="I66" i="4"/>
  <c r="I61" i="4"/>
  <c r="I64" i="4"/>
  <c r="I67" i="4"/>
  <c r="I70" i="4"/>
  <c r="I104" i="4"/>
  <c r="B57" i="4"/>
  <c r="B58" i="4"/>
  <c r="I58" i="4" s="1"/>
  <c r="G58" i="4"/>
  <c r="B29" i="4"/>
  <c r="I29" i="4" s="1"/>
  <c r="B30" i="4"/>
  <c r="I30" i="4" s="1"/>
  <c r="B48" i="4"/>
  <c r="I37" i="4"/>
  <c r="B108" i="4"/>
  <c r="I108" i="4" s="1"/>
  <c r="B38" i="4"/>
  <c r="B40" i="4" s="1"/>
  <c r="I40" i="4" s="1"/>
  <c r="B43" i="4"/>
  <c r="B34" i="4"/>
  <c r="H34" i="4" s="1"/>
  <c r="H53" i="4"/>
  <c r="I53" i="4" s="1"/>
  <c r="I38" i="4"/>
  <c r="B35" i="4"/>
  <c r="I107" i="4"/>
  <c r="I75" i="4"/>
  <c r="B51" i="4" l="1"/>
  <c r="I51" i="4" s="1"/>
  <c r="B50" i="4"/>
  <c r="I50" i="4" s="1"/>
  <c r="I57" i="4"/>
  <c r="B56" i="4"/>
  <c r="I56" i="4" s="1"/>
  <c r="I54" i="4"/>
  <c r="I59" i="4"/>
  <c r="I73" i="4"/>
  <c r="H33" i="4"/>
  <c r="I33" i="4" s="1"/>
  <c r="H103" i="4"/>
  <c r="I103" i="4" s="1"/>
  <c r="I102" i="4" s="1"/>
  <c r="B44" i="4"/>
  <c r="I44" i="4" s="1"/>
  <c r="I43" i="4"/>
  <c r="B45" i="4"/>
  <c r="I45" i="4" s="1"/>
  <c r="I48" i="4"/>
  <c r="B36" i="4"/>
  <c r="I36" i="4" s="1"/>
  <c r="I35" i="4"/>
  <c r="I52" i="4" l="1"/>
  <c r="I46" i="4"/>
  <c r="I28" i="4"/>
  <c r="I41" i="4"/>
  <c r="I34" i="4"/>
  <c r="I109" i="4" l="1"/>
  <c r="I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7" authorId="0" shapeId="0" xr:uid="{00000000-0006-0000-0000-000001000000}">
      <text>
        <r>
          <rPr>
            <b/>
            <sz val="9"/>
            <color indexed="81"/>
            <rFont val="Tahoma"/>
            <family val="2"/>
          </rPr>
          <t>Author:</t>
        </r>
        <r>
          <rPr>
            <sz val="9"/>
            <color indexed="81"/>
            <rFont val="Tahoma"/>
            <family val="2"/>
          </rPr>
          <t xml:space="preserve">
Each bow: 4 tek screws to hold the pipes together; 4 to keep the collar ties from slipping.
+
Ridge pole: 1 screw per 10' piece
+
16
+
10% extra 
Round up to boxes of 100 screws
=ROUNDUP((8*D11+16+D7/10)*1.1/100,0)</t>
        </r>
      </text>
    </comment>
    <comment ref="B56" authorId="0" shapeId="0" xr:uid="{00000000-0006-0000-0000-000002000000}">
      <text>
        <r>
          <rPr>
            <b/>
            <sz val="9"/>
            <color indexed="81"/>
            <rFont val="Tahoma"/>
            <family val="2"/>
          </rPr>
          <t>Author:</t>
        </r>
        <r>
          <rPr>
            <sz val="9"/>
            <color indexed="81"/>
            <rFont val="Tahoma"/>
            <family val="2"/>
          </rPr>
          <t xml:space="preserve">
Channel: 1 tek screw every foot, so = B57*8
+
Large snap clamps for scissor doors: 1 per clamp used; come in packs of 10 = B74*10
+
Small snap clamps for roll up sides: 1 per clamp used; come in packs of 10 = B108*10
+
10% extra 
Round up to boxes of 100 screws
=ROUNDUP((B57*8+B74*10+B108*10)*1.1/100,0)</t>
        </r>
      </text>
    </comment>
    <comment ref="S74" authorId="0" shapeId="0" xr:uid="{00000000-0006-0000-0000-000003000000}">
      <text>
        <r>
          <rPr>
            <b/>
            <sz val="9"/>
            <color indexed="81"/>
            <rFont val="Tahoma"/>
            <family val="2"/>
          </rPr>
          <t>Author:</t>
        </r>
        <r>
          <rPr>
            <sz val="9"/>
            <color indexed="81"/>
            <rFont val="Tahoma"/>
            <family val="2"/>
          </rPr>
          <t xml:space="preserve">
Length of channel on hipboards and overlap areas as follows:
Length of tunnel (D7) times 2 plus
Horizontal overlap length = bow spacing (D8) times 4 plus
Vertical overlap length = 4' times 4
=D7*2+D8*4+16</t>
        </r>
      </text>
    </comment>
    <comment ref="T74" authorId="0" shapeId="0" xr:uid="{00000000-0006-0000-0000-000004000000}">
      <text>
        <r>
          <rPr>
            <b/>
            <sz val="9"/>
            <color indexed="81"/>
            <rFont val="Tahoma"/>
            <family val="2"/>
          </rPr>
          <t>Author:</t>
        </r>
        <r>
          <rPr>
            <sz val="9"/>
            <color indexed="81"/>
            <rFont val="Tahoma"/>
            <family val="2"/>
          </rPr>
          <t xml:space="preserve">
This is only one layer so equals length of channel.
=W76
</t>
        </r>
      </text>
    </comment>
    <comment ref="S75" authorId="0" shapeId="0" xr:uid="{00000000-0006-0000-0000-000005000000}">
      <text>
        <r>
          <rPr>
            <b/>
            <sz val="9"/>
            <color indexed="81"/>
            <rFont val="Tahoma"/>
            <family val="2"/>
          </rPr>
          <t>Author:</t>
        </r>
        <r>
          <rPr>
            <sz val="9"/>
            <color indexed="81"/>
            <rFont val="Tahoma"/>
            <family val="2"/>
          </rPr>
          <t xml:space="preserve">
Since each bow is 2.5 times the length of a piece of top rail, this is 25' plus the exposed ground post length on each side minus the bow insertion of 6" each side minus the width of hipboard and baseboard on each side.
(25' bow +2'groundposts*2- 6"*2 insertion-6"*4) times 2 endwalls
=(25+2*2-2*.5-4*.5)*2</t>
        </r>
      </text>
    </comment>
    <comment ref="T75" authorId="0" shapeId="0" xr:uid="{00000000-0006-0000-0000-000006000000}">
      <text>
        <r>
          <rPr>
            <b/>
            <sz val="9"/>
            <color indexed="81"/>
            <rFont val="Tahoma"/>
            <family val="2"/>
          </rPr>
          <t>Author:</t>
        </r>
        <r>
          <rPr>
            <sz val="9"/>
            <color indexed="81"/>
            <rFont val="Tahoma"/>
            <family val="2"/>
          </rPr>
          <t xml:space="preserve">
Since each bow will have overlapping wire this is twice the length of channel used
=W77*2</t>
        </r>
      </text>
    </comment>
    <comment ref="S76" authorId="0" shapeId="0" xr:uid="{00000000-0006-0000-0000-000007000000}">
      <text>
        <r>
          <rPr>
            <b/>
            <sz val="9"/>
            <color indexed="81"/>
            <rFont val="Tahoma"/>
            <family val="2"/>
          </rPr>
          <t>Author:</t>
        </r>
        <r>
          <rPr>
            <sz val="9"/>
            <color indexed="81"/>
            <rFont val="Tahoma"/>
            <family val="2"/>
          </rPr>
          <t xml:space="preserve">
If scissor doors option is chosen, one channel per set of doors must span the width of tunnel, so 
= #scissor doors * 14'
=B13*14</t>
        </r>
      </text>
    </comment>
    <comment ref="T76" authorId="0" shapeId="0" xr:uid="{00000000-0006-0000-0000-000008000000}">
      <text>
        <r>
          <rPr>
            <b/>
            <sz val="9"/>
            <color indexed="81"/>
            <rFont val="Tahoma"/>
            <family val="2"/>
          </rPr>
          <t>Author:</t>
        </r>
        <r>
          <rPr>
            <sz val="9"/>
            <color indexed="81"/>
            <rFont val="Tahoma"/>
            <family val="2"/>
          </rPr>
          <t xml:space="preserve">
Since there is only one layer of wire here this is equal to the channel used.
=W78
</t>
        </r>
      </text>
    </comment>
    <comment ref="S77" authorId="0" shapeId="0" xr:uid="{00000000-0006-0000-0000-000009000000}">
      <text>
        <r>
          <rPr>
            <b/>
            <sz val="9"/>
            <color indexed="81"/>
            <rFont val="Tahoma"/>
            <family val="2"/>
          </rPr>
          <t>Author:</t>
        </r>
        <r>
          <rPr>
            <sz val="9"/>
            <color indexed="81"/>
            <rFont val="Tahoma"/>
            <family val="2"/>
          </rPr>
          <t xml:space="preserve">
This one is involved…
Start with the width of the tunnel = 14'. That accounts for the channel along the endwall baseboard and above the doors, plus
The height of the door frame plus a couple inches (83"+2") times 2, plus
The height of the doors (82") times 4, plus 
The width of each of the doors (24.5") times 4.
All times the number of endwalls with this treatment.
=(14+((85*2+82*4+24.5*4))/12)*B14</t>
        </r>
      </text>
    </comment>
    <comment ref="T77" authorId="0" shapeId="0" xr:uid="{00000000-0006-0000-0000-00000A000000}">
      <text>
        <r>
          <rPr>
            <b/>
            <sz val="9"/>
            <color indexed="81"/>
            <rFont val="Tahoma"/>
            <family val="2"/>
          </rPr>
          <t>Author:</t>
        </r>
        <r>
          <rPr>
            <sz val="9"/>
            <color indexed="81"/>
            <rFont val="Tahoma"/>
            <family val="2"/>
          </rPr>
          <t xml:space="preserve">
Since this is all one layer, this is same as channel length used.</t>
        </r>
      </text>
    </comment>
  </commentList>
</comments>
</file>

<file path=xl/sharedStrings.xml><?xml version="1.0" encoding="utf-8"?>
<sst xmlns="http://schemas.openxmlformats.org/spreadsheetml/2006/main" count="159" uniqueCount="85">
  <si>
    <t>Qty</t>
  </si>
  <si>
    <t>Description</t>
  </si>
  <si>
    <t>Price</t>
  </si>
  <si>
    <t>Ext</t>
  </si>
  <si>
    <t>Total Cost</t>
  </si>
  <si>
    <t># Bows</t>
  </si>
  <si>
    <t>Unit</t>
  </si>
  <si>
    <t>each</t>
  </si>
  <si>
    <t>Part#</t>
  </si>
  <si>
    <t>Johnny's Selected Seeds</t>
  </si>
  <si>
    <t>Square Feet</t>
  </si>
  <si>
    <t>Cost / Sq. Ft.</t>
  </si>
  <si>
    <t>Dimensions, Spec's</t>
  </si>
  <si>
    <t>Length</t>
  </si>
  <si>
    <t>Home Depot</t>
  </si>
  <si>
    <t>We have no affiliation with these companies, other than purchasing these supplies from them and finding their prices competitive.</t>
  </si>
  <si>
    <t>Vendor</t>
  </si>
  <si>
    <t xml:space="preserve">Click on part# to link to product's web page. Vendors and part#'s for pipe and other accessories are provided for your convenience only. </t>
  </si>
  <si>
    <t xml:space="preserve"> </t>
  </si>
  <si>
    <t xml:space="preserve"> Handcrank auto-stop roll-up sides</t>
  </si>
  <si>
    <t xml:space="preserve"> No roll-up sides at all (shorter tunnels only)</t>
  </si>
  <si>
    <r>
      <t xml:space="preserve">***Fill in the items in </t>
    </r>
    <r>
      <rPr>
        <b/>
        <sz val="11"/>
        <color indexed="10"/>
        <rFont val="Calibri"/>
        <family val="2"/>
      </rPr>
      <t>red</t>
    </r>
    <r>
      <rPr>
        <b/>
        <sz val="11"/>
        <color indexed="8"/>
        <rFont val="Calibri"/>
        <family val="2"/>
      </rPr>
      <t xml:space="preserve"> below and the calculator will do the rest.***</t>
    </r>
  </si>
  <si>
    <t>feet</t>
  </si>
  <si>
    <r>
      <t xml:space="preserve">Enter </t>
    </r>
    <r>
      <rPr>
        <b/>
        <sz val="12"/>
        <color indexed="10"/>
        <rFont val="Calibri"/>
        <family val="2"/>
      </rPr>
      <t xml:space="preserve">length </t>
    </r>
    <r>
      <rPr>
        <b/>
        <sz val="12"/>
        <rFont val="Calibri"/>
        <family val="2"/>
      </rPr>
      <t>here.</t>
    </r>
    <r>
      <rPr>
        <sz val="12"/>
        <rFont val="Calibri"/>
        <family val="2"/>
      </rPr>
      <t xml:space="preserve"> </t>
    </r>
    <r>
      <rPr>
        <u/>
        <sz val="12"/>
        <rFont val="Calibri"/>
        <family val="2"/>
      </rPr>
      <t>Must be divisible by spacing</t>
    </r>
    <r>
      <rPr>
        <sz val="12"/>
        <rFont val="Calibri"/>
        <family val="2"/>
      </rPr>
      <t xml:space="preserve">. </t>
    </r>
  </si>
  <si>
    <t>Spacing</t>
  </si>
  <si>
    <r>
      <t xml:space="preserve">Enter </t>
    </r>
    <r>
      <rPr>
        <b/>
        <sz val="12"/>
        <color indexed="10"/>
        <rFont val="Calibri"/>
        <family val="2"/>
      </rPr>
      <t xml:space="preserve">spacing </t>
    </r>
    <r>
      <rPr>
        <b/>
        <sz val="12"/>
        <rFont val="Calibri"/>
        <family val="2"/>
      </rPr>
      <t>here.</t>
    </r>
    <r>
      <rPr>
        <sz val="12"/>
        <rFont val="Calibri"/>
        <family val="2"/>
      </rPr>
      <t xml:space="preserve">  </t>
    </r>
  </si>
  <si>
    <t># Segments</t>
  </si>
  <si>
    <t>www.boltdepot.com</t>
  </si>
  <si>
    <t>Special Tools</t>
  </si>
  <si>
    <t>Frame Components</t>
  </si>
  <si>
    <t>Ground Post Driver</t>
  </si>
  <si>
    <t>Roll-up Sides</t>
  </si>
  <si>
    <t>Covering</t>
  </si>
  <si>
    <t>Subtotal:</t>
  </si>
  <si>
    <t>#10 x 3/4 in. hex-head self-tapping screws, box of 100</t>
  </si>
  <si>
    <t>Quick Hoops™ Fixed Traditional 14 ft. Wide Gothic High Tunnel Calculator</t>
  </si>
  <si>
    <t xml:space="preserve"> # Low cost scissor doors</t>
  </si>
  <si>
    <t xml:space="preserve"> # End walls with doors (per our instructions)</t>
  </si>
  <si>
    <r>
      <t xml:space="preserve">Quick Hoops </t>
    </r>
    <r>
      <rPr>
        <b/>
        <sz val="11"/>
        <color indexed="8"/>
        <rFont val="Calibri"/>
        <family val="2"/>
      </rPr>
      <t xml:space="preserve">Gothic </t>
    </r>
    <r>
      <rPr>
        <sz val="11"/>
        <color theme="1"/>
        <rFont val="Calibri"/>
        <family val="2"/>
        <scheme val="minor"/>
      </rPr>
      <t>High Tunnel Bender</t>
    </r>
  </si>
  <si>
    <t>x</t>
  </si>
  <si>
    <t xml:space="preserve"> No end walls (do not calculate them)</t>
  </si>
  <si>
    <t>#10 x 3/4 in. Phillips-head self-tapping screws, box of 100</t>
  </si>
  <si>
    <t>Condition</t>
  </si>
  <si>
    <t>Hipboards &amp; overlaps</t>
  </si>
  <si>
    <t>Endwall Bows</t>
  </si>
  <si>
    <t>Bottom of scissor doors</t>
  </si>
  <si>
    <t>Face of endwall with doors</t>
  </si>
  <si>
    <t>B13</t>
  </si>
  <si>
    <t xml:space="preserve"> No weed barrier</t>
  </si>
  <si>
    <t xml:space="preserve"> Weed barrier at base of tunnel walls</t>
  </si>
  <si>
    <t>End Wall(s) with Doors</t>
  </si>
  <si>
    <t>Scissor Door(s)</t>
  </si>
  <si>
    <t>Baseboards</t>
  </si>
  <si>
    <t>Hipboards</t>
  </si>
  <si>
    <t>All prices are estimates. Prices will vary and do not include shipping costs or tax.</t>
  </si>
  <si>
    <t>5/16 in. flat washers</t>
  </si>
  <si>
    <t>5/16 in. hex nuts</t>
  </si>
  <si>
    <t>5/16 in. x 3 in. carriage bolts</t>
  </si>
  <si>
    <t>5/16 in. x 7 in. J-bolt with hex nuts</t>
  </si>
  <si>
    <t>5/4 in. x 6 in. x 16 ft. deck boards</t>
  </si>
  <si>
    <t>5/16 in. x 2 in. hex bolts for ground posts</t>
  </si>
  <si>
    <t>5/16 in. hex nuts for ground posts</t>
  </si>
  <si>
    <t>10 ft lengths of 1-3/8 in. top rail for side hoops</t>
  </si>
  <si>
    <t>10 ft lengths of 1-3/8 in. top rail for peak sections</t>
  </si>
  <si>
    <t>10 ft lengths of 1-3/8 in. top rail for ridge pole</t>
  </si>
  <si>
    <t>10 ft lengths of 1-3/8 in. top rail for angle braces</t>
  </si>
  <si>
    <t>8 ft lengths of 1-5/8 in. line post for ground posts</t>
  </si>
  <si>
    <t>1 3/8 in. brace bands</t>
  </si>
  <si>
    <t>1 5/8 in. brace bands</t>
  </si>
  <si>
    <t>BB13</t>
  </si>
  <si>
    <t>www.chainlinkfittings.com</t>
  </si>
  <si>
    <t>CB51614</t>
  </si>
  <si>
    <t>5/16 in. x 1.25 in. carriage bolt with nut</t>
  </si>
  <si>
    <t>BB15</t>
  </si>
  <si>
    <t>10 ft length of 3/4 in. EMT for collar ties</t>
  </si>
  <si>
    <t>4 ft. lengths of Poly Latch Wire</t>
  </si>
  <si>
    <t>8 ft. lengths of Poly Latch Channel</t>
  </si>
  <si>
    <t>Channel</t>
  </si>
  <si>
    <t>Wire</t>
  </si>
  <si>
    <t>Wire and Channel Matrix</t>
  </si>
  <si>
    <t>B14</t>
  </si>
  <si>
    <t>Totals in feet</t>
  </si>
  <si>
    <t>Scissor doors</t>
  </si>
  <si>
    <t>Endwalls with doors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</si>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</sst>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0" x14ac:knownFonts="1">
    <font>
      <sz val="11"/>
      <color theme="1"/>
      <name val="Calibri"/>
      <family val="2"/>
      <scheme val="minor"/>
    </font>
    <font>
      <b/>
      <sz val="11"/>
      <color indexed="8"/>
      <name val="Calibri"/>
      <family val="2"/>
    </font>
    <font>
      <b/>
      <sz val="12"/>
      <name val="Calibri"/>
      <family val="2"/>
    </font>
    <font>
      <b/>
      <sz val="11"/>
      <color indexed="10"/>
      <name val="Calibri"/>
      <family val="2"/>
    </font>
    <font>
      <b/>
      <sz val="12"/>
      <color indexed="10"/>
      <name val="Calibri"/>
      <family val="2"/>
    </font>
    <font>
      <sz val="12"/>
      <name val="Calibri"/>
      <family val="2"/>
    </font>
    <font>
      <u/>
      <sz val="12"/>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1"/>
      <name val="Calibri"/>
      <family val="2"/>
      <scheme val="minor"/>
    </font>
    <font>
      <b/>
      <sz val="10"/>
      <name val="Calibri"/>
      <family val="2"/>
      <scheme val="minor"/>
    </font>
    <font>
      <b/>
      <sz val="10"/>
      <color theme="1"/>
      <name val="Calibri"/>
      <family val="2"/>
      <scheme val="minor"/>
    </font>
    <font>
      <b/>
      <sz val="12"/>
      <color theme="0"/>
      <name val="Calibri"/>
      <family val="2"/>
      <scheme val="minor"/>
    </font>
    <font>
      <b/>
      <sz val="10"/>
      <color theme="0"/>
      <name val="Calibri"/>
      <family val="2"/>
      <scheme val="minor"/>
    </font>
    <font>
      <b/>
      <sz val="11"/>
      <color rgb="FFFF0000"/>
      <name val="Calibri"/>
      <family val="2"/>
      <scheme val="minor"/>
    </font>
    <font>
      <b/>
      <sz val="14"/>
      <color rgb="FFFF0000"/>
      <name val="Calibri"/>
      <family val="2"/>
      <scheme val="minor"/>
    </font>
    <font>
      <b/>
      <sz val="22"/>
      <color theme="1"/>
      <name val="Calibri"/>
      <family val="2"/>
      <scheme val="minor"/>
    </font>
    <font>
      <b/>
      <sz val="11"/>
      <name val="Calibri"/>
      <family val="2"/>
      <scheme val="minor"/>
    </font>
    <font>
      <b/>
      <sz val="12"/>
      <name val="Calibri"/>
      <family val="2"/>
      <scheme val="minor"/>
    </font>
    <font>
      <sz val="10"/>
      <color theme="1"/>
      <name val="Calibri"/>
      <family val="2"/>
      <scheme val="minor"/>
    </font>
    <font>
      <sz val="9"/>
      <color indexed="81"/>
      <name val="Tahoma"/>
      <family val="2"/>
    </font>
    <font>
      <b/>
      <sz val="9"/>
      <color indexed="81"/>
      <name val="Tahoma"/>
      <family val="2"/>
    </font>
    <font>
      <sz val="12"/>
      <color theme="0"/>
      <name val="Calibri"/>
      <family val="2"/>
      <scheme val="minor"/>
    </font>
  </fonts>
  <fills count="5">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44" fontId="7" fillId="0" borderId="0" applyFont="0" applyFill="0" applyBorder="0" applyAlignment="0" applyProtection="0"/>
    <xf numFmtId="0" fontId="10" fillId="0" borderId="0" applyNumberFormat="0" applyFill="0" applyBorder="0" applyAlignment="0" applyProtection="0">
      <alignment vertical="top"/>
      <protection locked="0"/>
    </xf>
  </cellStyleXfs>
  <cellXfs count="154">
    <xf numFmtId="0" fontId="0" fillId="0" borderId="0" xfId="0"/>
    <xf numFmtId="0" fontId="11" fillId="0" borderId="0" xfId="0" applyFont="1" applyAlignment="1">
      <alignment vertical="center"/>
    </xf>
    <xf numFmtId="164" fontId="11" fillId="0" borderId="0" xfId="0" applyNumberFormat="1" applyFont="1" applyAlignment="1">
      <alignment vertical="center"/>
    </xf>
    <xf numFmtId="0" fontId="1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xf>
    <xf numFmtId="164" fontId="0" fillId="0" borderId="0" xfId="0" applyNumberFormat="1" applyAlignment="1">
      <alignment horizontal="right" vertical="center"/>
    </xf>
    <xf numFmtId="164" fontId="0" fillId="0" borderId="0" xfId="0" applyNumberFormat="1" applyAlignment="1">
      <alignment vertical="center"/>
    </xf>
    <xf numFmtId="0" fontId="11" fillId="0" borderId="0" xfId="0" applyFont="1" applyBorder="1" applyAlignment="1">
      <alignment horizontal="center" vertical="center"/>
    </xf>
    <xf numFmtId="1" fontId="11" fillId="0" borderId="0" xfId="0" applyNumberFormat="1" applyFont="1" applyAlignment="1">
      <alignment horizontal="center" vertical="center"/>
    </xf>
    <xf numFmtId="164" fontId="12" fillId="0" borderId="0" xfId="0" applyNumberFormat="1" applyFont="1" applyAlignment="1">
      <alignment horizontal="right" vertical="center" indent="1"/>
    </xf>
    <xf numFmtId="165" fontId="12" fillId="0" borderId="1" xfId="0" applyNumberFormat="1" applyFont="1" applyBorder="1" applyAlignment="1">
      <alignment horizontal="right" vertical="center" indent="1"/>
    </xf>
    <xf numFmtId="1" fontId="0" fillId="0" borderId="0" xfId="0" applyNumberFormat="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right" vertical="center"/>
    </xf>
    <xf numFmtId="0" fontId="14" fillId="0" borderId="0" xfId="0" applyFont="1" applyBorder="1" applyAlignment="1">
      <alignment horizontal="left" vertical="center" indent="34"/>
    </xf>
    <xf numFmtId="1"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64" fontId="9" fillId="2" borderId="1" xfId="0" applyNumberFormat="1" applyFont="1" applyFill="1" applyBorder="1" applyAlignment="1">
      <alignment horizontal="center" vertical="center"/>
    </xf>
    <xf numFmtId="0" fontId="13" fillId="0" borderId="0" xfId="0" applyFont="1" applyAlignment="1">
      <alignment horizontal="left" vertical="center" indent="5"/>
    </xf>
    <xf numFmtId="0" fontId="13" fillId="0" borderId="0" xfId="0" applyFont="1" applyAlignment="1">
      <alignment vertical="center"/>
    </xf>
    <xf numFmtId="0" fontId="13" fillId="0" borderId="0" xfId="0" applyFont="1" applyBorder="1" applyAlignment="1">
      <alignment horizontal="left" vertical="center"/>
    </xf>
    <xf numFmtId="164" fontId="13" fillId="0" borderId="0" xfId="0" applyNumberFormat="1" applyFont="1" applyBorder="1" applyAlignment="1">
      <alignment horizontal="center" vertical="center"/>
    </xf>
    <xf numFmtId="0" fontId="15" fillId="0" borderId="1" xfId="0" applyFont="1" applyBorder="1" applyAlignment="1">
      <alignment horizontal="center" vertical="center"/>
    </xf>
    <xf numFmtId="1" fontId="16" fillId="0" borderId="0" xfId="0" applyNumberFormat="1" applyFont="1" applyAlignment="1">
      <alignment horizontal="center" vertical="center"/>
    </xf>
    <xf numFmtId="0" fontId="16" fillId="0" borderId="0" xfId="0" applyFont="1" applyAlignment="1">
      <alignment horizontal="left" vertical="center"/>
    </xf>
    <xf numFmtId="0" fontId="11" fillId="0" borderId="0" xfId="0" applyFont="1" applyAlignment="1">
      <alignment vertical="center"/>
    </xf>
    <xf numFmtId="0" fontId="13" fillId="0" borderId="0" xfId="0" applyFont="1" applyBorder="1" applyAlignment="1">
      <alignment horizontal="left" vertical="center"/>
    </xf>
    <xf numFmtId="1" fontId="0" fillId="0" borderId="1" xfId="0" applyNumberFormat="1" applyFont="1" applyBorder="1" applyAlignment="1">
      <alignment horizontal="center" vertical="center"/>
    </xf>
    <xf numFmtId="164" fontId="0" fillId="0" borderId="1" xfId="0" applyNumberFormat="1" applyFont="1" applyBorder="1" applyAlignment="1">
      <alignment horizontal="right" vertical="center" indent="1"/>
    </xf>
    <xf numFmtId="164" fontId="0" fillId="3" borderId="1" xfId="0" applyNumberFormat="1" applyFont="1" applyFill="1" applyBorder="1" applyAlignment="1">
      <alignment horizontal="right" vertical="center" indent="1"/>
    </xf>
    <xf numFmtId="1" fontId="0" fillId="0" borderId="1" xfId="0" applyNumberFormat="1" applyBorder="1" applyAlignment="1">
      <alignment horizontal="center" vertical="center"/>
    </xf>
    <xf numFmtId="164" fontId="13" fillId="0" borderId="2" xfId="0" applyNumberFormat="1" applyFont="1" applyBorder="1" applyAlignment="1">
      <alignment horizontal="center" vertical="center"/>
    </xf>
    <xf numFmtId="0" fontId="13" fillId="0" borderId="0" xfId="0" applyFont="1" applyBorder="1" applyAlignment="1">
      <alignment horizontal="left" vertical="center"/>
    </xf>
    <xf numFmtId="1" fontId="13" fillId="0" borderId="0" xfId="0" applyNumberFormat="1" applyFont="1" applyBorder="1" applyAlignment="1">
      <alignment horizontal="left" vertical="center"/>
    </xf>
    <xf numFmtId="0" fontId="15" fillId="0" borderId="0" xfId="0" applyFont="1" applyBorder="1" applyAlignment="1">
      <alignment horizontal="center" vertical="center"/>
    </xf>
    <xf numFmtId="1" fontId="15" fillId="0" borderId="1" xfId="0" applyNumberFormat="1" applyFont="1" applyBorder="1" applyAlignment="1">
      <alignment horizontal="center" vertical="center"/>
    </xf>
    <xf numFmtId="0" fontId="13" fillId="0" borderId="0" xfId="0" applyFont="1" applyAlignment="1">
      <alignment horizontal="left" vertical="center"/>
    </xf>
    <xf numFmtId="1" fontId="14" fillId="0" borderId="0" xfId="0" applyNumberFormat="1" applyFont="1" applyBorder="1" applyAlignment="1">
      <alignment horizontal="right" vertical="center" indent="2"/>
    </xf>
    <xf numFmtId="0" fontId="0" fillId="0" borderId="1" xfId="0" applyBorder="1" applyAlignment="1">
      <alignment horizontal="left" vertical="center" indent="1"/>
    </xf>
    <xf numFmtId="164" fontId="0" fillId="0" borderId="1" xfId="0" applyNumberFormat="1" applyBorder="1" applyAlignment="1">
      <alignment horizontal="right" vertical="center" indent="1"/>
    </xf>
    <xf numFmtId="1" fontId="16" fillId="0" borderId="1" xfId="0" applyNumberFormat="1" applyFont="1" applyBorder="1" applyAlignment="1">
      <alignment horizontal="center" vertical="center"/>
    </xf>
    <xf numFmtId="0" fontId="16" fillId="0" borderId="1" xfId="0" applyFont="1" applyBorder="1" applyAlignment="1">
      <alignment horizontal="left" vertical="center" indent="1"/>
    </xf>
    <xf numFmtId="1" fontId="0" fillId="3" borderId="1" xfId="0" applyNumberFormat="1" applyFont="1" applyFill="1" applyBorder="1" applyAlignment="1">
      <alignment horizontal="center" vertical="center"/>
    </xf>
    <xf numFmtId="49" fontId="16" fillId="3" borderId="1" xfId="0" applyNumberFormat="1" applyFont="1" applyFill="1" applyBorder="1" applyAlignment="1">
      <alignment horizontal="left" vertical="center" indent="1"/>
    </xf>
    <xf numFmtId="0" fontId="0" fillId="3" borderId="1" xfId="0" applyFont="1" applyFill="1" applyBorder="1" applyAlignment="1">
      <alignment horizontal="left" vertical="center" indent="1"/>
    </xf>
    <xf numFmtId="0" fontId="0" fillId="3" borderId="1" xfId="0" applyFill="1" applyBorder="1" applyAlignment="1">
      <alignment horizontal="left" vertical="center" indent="1"/>
    </xf>
    <xf numFmtId="0" fontId="0" fillId="3" borderId="0" xfId="0" applyFill="1" applyAlignment="1">
      <alignment vertical="center"/>
    </xf>
    <xf numFmtId="0" fontId="0" fillId="3" borderId="0" xfId="0" applyFill="1" applyAlignment="1">
      <alignment horizontal="center" vertical="center"/>
    </xf>
    <xf numFmtId="0" fontId="0" fillId="3" borderId="1" xfId="0" applyFont="1" applyFill="1" applyBorder="1" applyAlignment="1">
      <alignment horizontal="left" vertical="center" wrapText="1" indent="1"/>
    </xf>
    <xf numFmtId="0" fontId="11" fillId="3" borderId="0" xfId="0" applyFont="1" applyFill="1" applyAlignment="1">
      <alignment vertical="center"/>
    </xf>
    <xf numFmtId="0" fontId="16" fillId="3" borderId="1" xfId="0" applyNumberFormat="1" applyFont="1" applyFill="1" applyBorder="1" applyAlignment="1">
      <alignment horizontal="left" vertical="center" indent="1"/>
    </xf>
    <xf numFmtId="164" fontId="0" fillId="3" borderId="1" xfId="0" applyNumberFormat="1" applyFill="1" applyBorder="1" applyAlignment="1">
      <alignment horizontal="right" vertical="center" indent="1"/>
    </xf>
    <xf numFmtId="1" fontId="0" fillId="3" borderId="1" xfId="0" applyNumberFormat="1" applyFill="1" applyBorder="1" applyAlignment="1">
      <alignment horizontal="center" vertical="center"/>
    </xf>
    <xf numFmtId="0" fontId="0" fillId="0" borderId="0" xfId="0" applyAlignment="1">
      <alignment horizontal="left" indent="1"/>
    </xf>
    <xf numFmtId="164" fontId="17" fillId="4" borderId="1" xfId="0" applyNumberFormat="1" applyFont="1" applyFill="1" applyBorder="1" applyAlignment="1">
      <alignment horizontal="right" vertical="center" indent="1"/>
    </xf>
    <xf numFmtId="0" fontId="18" fillId="0" borderId="0" xfId="0" applyFont="1" applyAlignment="1">
      <alignment vertical="center"/>
    </xf>
    <xf numFmtId="0" fontId="18" fillId="0" borderId="0" xfId="0" applyFont="1" applyAlignment="1">
      <alignment horizontal="center" vertical="center"/>
    </xf>
    <xf numFmtId="0" fontId="0" fillId="0" borderId="1" xfId="0" applyBorder="1" applyAlignment="1">
      <alignment horizontal="left" indent="1"/>
    </xf>
    <xf numFmtId="0" fontId="16" fillId="0" borderId="1" xfId="0" applyFont="1" applyBorder="1" applyAlignment="1">
      <alignment horizontal="left" vertical="center" wrapText="1" indent="1"/>
    </xf>
    <xf numFmtId="0" fontId="16" fillId="0" borderId="1" xfId="0" applyNumberFormat="1" applyFont="1" applyBorder="1" applyAlignment="1">
      <alignment horizontal="left" vertical="center" indent="1"/>
    </xf>
    <xf numFmtId="1" fontId="12" fillId="0" borderId="0" xfId="0" applyNumberFormat="1" applyFont="1" applyBorder="1" applyAlignment="1">
      <alignment horizontal="right" vertical="center" indent="2"/>
    </xf>
    <xf numFmtId="164" fontId="12" fillId="0" borderId="0" xfId="1" applyNumberFormat="1" applyFont="1" applyBorder="1" applyAlignment="1">
      <alignment horizontal="right" vertical="center" indent="2"/>
    </xf>
    <xf numFmtId="0" fontId="13" fillId="0" borderId="0" xfId="0" applyFont="1" applyBorder="1" applyAlignment="1">
      <alignment horizontal="left" vertical="center"/>
    </xf>
    <xf numFmtId="0" fontId="13" fillId="0" borderId="0" xfId="0" applyFont="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16" fillId="0" borderId="1" xfId="0" applyFont="1" applyFill="1" applyBorder="1" applyAlignment="1">
      <alignment horizontal="left" vertical="center" indent="1"/>
    </xf>
    <xf numFmtId="0" fontId="0" fillId="0" borderId="1" xfId="0" applyFill="1" applyBorder="1" applyAlignment="1">
      <alignment horizontal="left" vertical="center" indent="1"/>
    </xf>
    <xf numFmtId="1" fontId="0" fillId="0"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0" fontId="0" fillId="0" borderId="1" xfId="0" applyFill="1" applyBorder="1" applyAlignment="1">
      <alignment horizontal="left" indent="1"/>
    </xf>
    <xf numFmtId="164" fontId="0" fillId="0" borderId="1" xfId="0" applyNumberFormat="1" applyFont="1" applyFill="1" applyBorder="1" applyAlignment="1">
      <alignment horizontal="right" vertical="center" indent="1"/>
    </xf>
    <xf numFmtId="0" fontId="8" fillId="0" borderId="0" xfId="0" applyFont="1" applyAlignment="1">
      <alignment vertical="center"/>
    </xf>
    <xf numFmtId="0" fontId="9" fillId="0" borderId="0" xfId="0" applyFont="1" applyAlignment="1">
      <alignment vertical="center"/>
    </xf>
    <xf numFmtId="0" fontId="1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19"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24" fillId="3"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9" fillId="0" borderId="0" xfId="0" applyFont="1" applyBorder="1" applyAlignment="1">
      <alignment horizontal="center" vertical="center"/>
    </xf>
    <xf numFmtId="0" fontId="0" fillId="3" borderId="0" xfId="0" applyFont="1" applyFill="1" applyAlignment="1">
      <alignment horizontal="center" vertical="center"/>
    </xf>
    <xf numFmtId="0" fontId="2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9" fillId="0" borderId="0" xfId="0" applyFont="1" applyAlignment="1">
      <alignment horizontal="right" vertical="center"/>
    </xf>
    <xf numFmtId="0" fontId="19" fillId="0" borderId="0" xfId="0" applyFont="1" applyBorder="1" applyAlignment="1">
      <alignment horizontal="center" vertical="center"/>
    </xf>
    <xf numFmtId="13" fontId="9" fillId="0" borderId="0" xfId="0" applyNumberFormat="1" applyFont="1" applyAlignment="1">
      <alignment horizontal="center" vertical="center"/>
    </xf>
    <xf numFmtId="0" fontId="20"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164" fontId="8" fillId="3" borderId="0" xfId="0" applyNumberFormat="1" applyFont="1" applyFill="1" applyAlignment="1">
      <alignment horizontal="center" vertical="center"/>
    </xf>
    <xf numFmtId="164"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8" fillId="0" borderId="0" xfId="0" applyFont="1" applyAlignment="1">
      <alignment horizontal="left" vertical="center"/>
    </xf>
    <xf numFmtId="0" fontId="29"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indent="1"/>
    </xf>
    <xf numFmtId="0" fontId="9" fillId="3" borderId="0" xfId="0" applyFont="1" applyFill="1" applyAlignment="1">
      <alignment horizontal="center" vertical="center"/>
    </xf>
    <xf numFmtId="1" fontId="8" fillId="0" borderId="0" xfId="0" applyNumberFormat="1" applyFont="1" applyBorder="1" applyAlignment="1">
      <alignment horizontal="center" vertical="center"/>
    </xf>
    <xf numFmtId="1" fontId="8"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horizontal="right" vertical="center"/>
    </xf>
    <xf numFmtId="1" fontId="9" fillId="3" borderId="0" xfId="0" applyNumberFormat="1" applyFont="1" applyFill="1" applyBorder="1" applyAlignment="1">
      <alignment horizontal="center" vertical="center"/>
    </xf>
    <xf numFmtId="0" fontId="8" fillId="3" borderId="0" xfId="0" applyFont="1" applyFill="1" applyAlignment="1">
      <alignment horizontal="center" vertical="center"/>
    </xf>
    <xf numFmtId="0" fontId="8" fillId="3" borderId="0" xfId="0" applyFont="1" applyFill="1" applyBorder="1" applyAlignment="1">
      <alignment horizontal="center" vertical="center"/>
    </xf>
    <xf numFmtId="1" fontId="10" fillId="0" borderId="3" xfId="2" applyNumberFormat="1" applyBorder="1" applyAlignment="1" applyProtection="1">
      <alignment horizontal="center" vertical="center"/>
    </xf>
    <xf numFmtId="1" fontId="10" fillId="0" borderId="4" xfId="2" applyNumberFormat="1" applyBorder="1" applyAlignment="1" applyProtection="1">
      <alignment horizontal="center" vertical="center"/>
    </xf>
    <xf numFmtId="1" fontId="10" fillId="3" borderId="3" xfId="2" applyNumberFormat="1" applyFill="1" applyBorder="1" applyAlignment="1" applyProtection="1">
      <alignment horizontal="center" vertical="center"/>
    </xf>
    <xf numFmtId="1" fontId="10" fillId="3" borderId="4" xfId="2" applyNumberFormat="1" applyFill="1" applyBorder="1" applyAlignment="1" applyProtection="1">
      <alignment horizontal="center" vertical="center"/>
    </xf>
    <xf numFmtId="0" fontId="10" fillId="3" borderId="3" xfId="2" applyFill="1" applyBorder="1" applyAlignment="1" applyProtection="1">
      <alignment horizontal="center"/>
    </xf>
    <xf numFmtId="0" fontId="10" fillId="3" borderId="4" xfId="2" applyFill="1" applyBorder="1" applyAlignment="1" applyProtection="1">
      <alignment horizontal="center"/>
    </xf>
    <xf numFmtId="0" fontId="9" fillId="0" borderId="0" xfId="0" applyFont="1" applyBorder="1" applyAlignment="1">
      <alignment horizontal="center" vertical="center"/>
    </xf>
    <xf numFmtId="0" fontId="10" fillId="0" borderId="1" xfId="2" applyBorder="1" applyAlignment="1" applyProtection="1">
      <alignment horizontal="center"/>
    </xf>
    <xf numFmtId="1" fontId="17" fillId="4" borderId="5" xfId="0" applyNumberFormat="1" applyFont="1" applyFill="1" applyBorder="1" applyAlignment="1">
      <alignment horizontal="right" vertical="center"/>
    </xf>
    <xf numFmtId="0" fontId="10" fillId="0" borderId="3" xfId="2" applyBorder="1" applyAlignment="1" applyProtection="1">
      <alignment horizontal="center"/>
    </xf>
    <xf numFmtId="0" fontId="10" fillId="0" borderId="4" xfId="2" applyBorder="1" applyAlignment="1" applyProtection="1">
      <alignment horizontal="center"/>
    </xf>
    <xf numFmtId="1" fontId="17" fillId="4" borderId="5" xfId="0" applyNumberFormat="1" applyFont="1" applyFill="1" applyBorder="1" applyAlignment="1">
      <alignment horizontal="right" vertical="center" indent="1"/>
    </xf>
    <xf numFmtId="1" fontId="17" fillId="4" borderId="3" xfId="0" applyNumberFormat="1" applyFont="1" applyFill="1" applyBorder="1" applyAlignment="1">
      <alignment horizontal="left" vertical="center" indent="1"/>
    </xf>
    <xf numFmtId="1" fontId="17" fillId="4" borderId="5" xfId="0" applyNumberFormat="1" applyFont="1" applyFill="1" applyBorder="1" applyAlignment="1">
      <alignment horizontal="left" vertical="center" indent="1"/>
    </xf>
    <xf numFmtId="1" fontId="10" fillId="0" borderId="3" xfId="2" applyNumberFormat="1" applyFill="1" applyBorder="1" applyAlignment="1" applyProtection="1">
      <alignment horizontal="center" vertical="center"/>
    </xf>
    <xf numFmtId="1" fontId="10" fillId="0" borderId="4" xfId="2" applyNumberFormat="1" applyFill="1" applyBorder="1" applyAlignment="1" applyProtection="1">
      <alignment horizontal="center" vertical="center"/>
    </xf>
    <xf numFmtId="0" fontId="0" fillId="0" borderId="1" xfId="0" applyBorder="1" applyAlignment="1">
      <alignment horizontal="center"/>
    </xf>
    <xf numFmtId="0" fontId="0" fillId="0" borderId="4" xfId="0" applyBorder="1" applyAlignment="1">
      <alignment horizontal="center"/>
    </xf>
    <xf numFmtId="0" fontId="21" fillId="0" borderId="0" xfId="0" applyFont="1" applyAlignment="1">
      <alignment horizontal="center" vertical="center" wrapText="1"/>
    </xf>
    <xf numFmtId="0" fontId="10" fillId="0" borderId="1" xfId="2" applyFont="1" applyBorder="1" applyAlignment="1" applyProtection="1">
      <alignment horizontal="center"/>
    </xf>
    <xf numFmtId="1" fontId="23" fillId="0" borderId="0" xfId="0" applyNumberFormat="1" applyFont="1" applyAlignment="1">
      <alignment horizontal="center" vertical="center"/>
    </xf>
    <xf numFmtId="1" fontId="13" fillId="0" borderId="0" xfId="0" applyNumberFormat="1" applyFont="1" applyBorder="1" applyAlignment="1">
      <alignment horizontal="left" vertical="center"/>
    </xf>
    <xf numFmtId="1" fontId="13" fillId="0" borderId="6" xfId="0" applyNumberFormat="1" applyFont="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 fontId="11" fillId="0" borderId="0" xfId="0" applyNumberFormat="1" applyFont="1" applyAlignment="1">
      <alignment horizontal="center" vertical="center"/>
    </xf>
    <xf numFmtId="164" fontId="13" fillId="0" borderId="2" xfId="0" applyNumberFormat="1" applyFont="1" applyBorder="1" applyAlignment="1">
      <alignment horizontal="center" vertical="center"/>
    </xf>
    <xf numFmtId="0" fontId="13" fillId="0" borderId="0" xfId="0" applyFont="1" applyBorder="1" applyAlignment="1">
      <alignment horizontal="left" vertical="center"/>
    </xf>
    <xf numFmtId="0" fontId="22" fillId="0" borderId="0" xfId="0" applyFont="1" applyAlignment="1">
      <alignment horizontal="center" vertical="center"/>
    </xf>
    <xf numFmtId="0" fontId="13" fillId="0" borderId="0" xfId="0" applyFont="1" applyAlignment="1">
      <alignment vertical="center"/>
    </xf>
    <xf numFmtId="0" fontId="13" fillId="0" borderId="6" xfId="0" applyFont="1" applyBorder="1" applyAlignment="1">
      <alignment vertical="center"/>
    </xf>
  </cellXfs>
  <cellStyles count="3">
    <cellStyle name="Currency" xfId="1" builtinId="4"/>
    <cellStyle name="Hyperlink" xfId="2" builtinId="8"/>
    <cellStyle name="Normal" xfId="0" builtinId="0"/>
  </cellStyles>
  <dxfs count="1">
    <dxf>
      <font>
        <color theme="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1276350</xdr:colOff>
      <xdr:row>0</xdr:row>
      <xdr:rowOff>57150</xdr:rowOff>
    </xdr:from>
    <xdr:to>
      <xdr:col>6</xdr:col>
      <xdr:colOff>1790700</xdr:colOff>
      <xdr:row>0</xdr:row>
      <xdr:rowOff>666750</xdr:rowOff>
    </xdr:to>
    <xdr:pic>
      <xdr:nvPicPr>
        <xdr:cNvPr id="1117" name="Picture 3" descr="JSSlogoURL_2-color.tif">
          <a:extLst>
            <a:ext uri="{FF2B5EF4-FFF2-40B4-BE49-F238E27FC236}">
              <a16:creationId xmlns:a16="http://schemas.microsoft.com/office/drawing/2014/main" id="{0CC90D3A-A44F-49C6-8B2C-00711C88B1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20833"/>
        <a:stretch>
          <a:fillRect/>
        </a:stretch>
      </xdr:blipFill>
      <xdr:spPr bwMode="auto">
        <a:xfrm>
          <a:off x="3990975" y="57150"/>
          <a:ext cx="23907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homedepot.com/p/Halex-3-4-in-Electric-Metallic-Tube-EMT-Compression-Coupling-5-Pack-20222/100178967" TargetMode="External"/><Relationship Id="rId18" Type="http://schemas.openxmlformats.org/officeDocument/2006/relationships/hyperlink" Target="http://chainlinkfittings.com/store/1-3-8-brace-bands-chain-link-fence.html" TargetMode="External"/><Relationship Id="rId26" Type="http://schemas.openxmlformats.org/officeDocument/2006/relationships/hyperlink" Target="https://www.boltdepot.com/Product-Details.aspx?Units=US&amp;Category=Washers&amp;Subcategory=SAE_flat_washers&amp;Material=Steel&amp;Plating=Zinc&amp;Grade=&amp;Finish=&amp;Extra_thick=&amp;Size=3%2f8%22&amp;nv=rel" TargetMode="External"/><Relationship Id="rId39" Type="http://schemas.openxmlformats.org/officeDocument/2006/relationships/hyperlink" Target="http://www.boltdepot.com/Product-Details.aspx?product=2649" TargetMode="External"/><Relationship Id="rId21" Type="http://schemas.openxmlformats.org/officeDocument/2006/relationships/hyperlink" Target="http://www.boltdepot.com/Product-Details.aspx?product=859" TargetMode="External"/><Relationship Id="rId34" Type="http://schemas.openxmlformats.org/officeDocument/2006/relationships/hyperlink" Target="https://www.homedepot.com/p/WeatherShield-5-4-in-x-6-in-x-16-ft-Ground-Contact-Pressure-Treated-Premium-Pine-Decking-Board-253944/206966950?keyword=1-1%2F4+in.+x+6+in.+x+16+ft.+Pressure-Treated+Decking+Board" TargetMode="External"/><Relationship Id="rId42" Type="http://schemas.openxmlformats.org/officeDocument/2006/relationships/hyperlink" Target="https://www.homedepot.com/p/2-in-x-4-in-x-96-in-Premium-Kiln-Dried-Whitewood-Stud-161640/202091220" TargetMode="External"/><Relationship Id="rId47" Type="http://schemas.openxmlformats.org/officeDocument/2006/relationships/hyperlink" Target="http://www.homedepot.com/p/Simpson-Strong-Tie-20-Gauge-1-1-4-in-x-9-in-Strap-Tie-LSTA9/202255804?keyword=lsta9" TargetMode="External"/><Relationship Id="rId50" Type="http://schemas.openxmlformats.org/officeDocument/2006/relationships/hyperlink" Target="http://www.homedepot.com/p/Simpson-Strong-Tie-Z-MAX-2-in-x-4-in-20-Gauge-Galvanized-Fence-Bracket-FB24Z/100375311?keyword=fb24z" TargetMode="External"/><Relationship Id="rId55" Type="http://schemas.openxmlformats.org/officeDocument/2006/relationships/hyperlink" Target="http://www.homedepot.com/p/Everbilt-1-4-in-x-7-3-4-in-Zinc-Plated-Turnbuckle-Hook-Eye-807086/204276134" TargetMode="External"/><Relationship Id="rId63" Type="http://schemas.openxmlformats.org/officeDocument/2006/relationships/hyperlink" Target="https://chainlinkfittings.com/store/carriage-bolts-with-nut.html" TargetMode="External"/><Relationship Id="rId68" Type="http://schemas.openxmlformats.org/officeDocument/2006/relationships/hyperlink" Target="https://www.boltdepot.com/Product-Details.aspx?product=3026" TargetMode="External"/><Relationship Id="rId76" Type="http://schemas.openxmlformats.org/officeDocument/2006/relationships/printerSettings" Target="../printerSettings/printerSettings1.bin"/><Relationship Id="rId7" Type="http://schemas.openxmlformats.org/officeDocument/2006/relationships/hyperlink" Target="http://www.boltdepot.com/Product-Details.aspx?product=12529" TargetMode="External"/><Relationship Id="rId71" Type="http://schemas.openxmlformats.org/officeDocument/2006/relationships/hyperlink" Target="http://www.homedepot.com/p/Allied-Tube-Conduit-3-4-in-x-10-ft-Electric-Metallic-Tube-Conduit-101550/100400406" TargetMode="External"/><Relationship Id="rId2" Type="http://schemas.openxmlformats.org/officeDocument/2006/relationships/hyperlink" Target="http://www.johnnyseeds.com/tools-supplies/supports-and-anchors/snap-clamps-for-1%22-pvc-or-chain-link-fence-top-rail-7035.0.html" TargetMode="External"/><Relationship Id="rId16" Type="http://schemas.openxmlformats.org/officeDocument/2006/relationships/hyperlink" Target="http://www.parachute-cord.com/1000cord.htm" TargetMode="External"/><Relationship Id="rId29" Type="http://schemas.openxmlformats.org/officeDocument/2006/relationships/hyperlink" Target="http://www.boltdepot.com/Product-Details.aspx?product=2649" TargetMode="External"/><Relationship Id="rId11" Type="http://schemas.openxmlformats.org/officeDocument/2006/relationships/hyperlink" Target="http://www.homedepot.com/p/YARDGARD-1-3-8-in-x-10-ft-6-in-17-Gauge-Galvanized-Steel-Top-Rail-328913DPT/100322532?keyword=181697" TargetMode="External"/><Relationship Id="rId24" Type="http://schemas.openxmlformats.org/officeDocument/2006/relationships/hyperlink" Target="http://www.homedepot.com/p/YARDGARD-1-3-8-in-x-10-ft-6-in-17-Gauge-Galvanized-Steel-Top-Rail-328913DPT/100322532?keyword=181697" TargetMode="External"/><Relationship Id="rId32" Type="http://schemas.openxmlformats.org/officeDocument/2006/relationships/hyperlink" Target="http://www.boltdepot.com/Product-Details.aspx?product=2649" TargetMode="External"/><Relationship Id="rId37" Type="http://schemas.openxmlformats.org/officeDocument/2006/relationships/hyperlink" Target="https://www.boltdepot.com/Product-Details.aspx?product=2777" TargetMode="External"/><Relationship Id="rId40" Type="http://schemas.openxmlformats.org/officeDocument/2006/relationships/hyperlink" Target="http://www.boltdepot.com/Product-Details.aspx?product=2977" TargetMode="External"/><Relationship Id="rId45" Type="http://schemas.openxmlformats.org/officeDocument/2006/relationships/hyperlink" Target="https://www.boltdepot.com/Product-Details.aspx?product=2784" TargetMode="External"/><Relationship Id="rId53" Type="http://schemas.openxmlformats.org/officeDocument/2006/relationships/hyperlink" Target="http://www.johnnyseeds.com/p-5458-coiled-9-support-wire-60-11-hoops.aspx" TargetMode="External"/><Relationship Id="rId58" Type="http://schemas.openxmlformats.org/officeDocument/2006/relationships/hyperlink" Target="http://www.homedepot.com/p/Crown-Bolt-6-in-Zinc-Plated-Heavy-Duty-Barrel-Bolt-15149/202033963" TargetMode="External"/><Relationship Id="rId66" Type="http://schemas.openxmlformats.org/officeDocument/2006/relationships/hyperlink" Target="https://www.boltdepot.com/Product-Details.aspx?product=7242" TargetMode="External"/><Relationship Id="rId74" Type="http://schemas.openxmlformats.org/officeDocument/2006/relationships/hyperlink" Target="https://www.homedepot.com/p/WeatherShield-5-4-in-x-6-in-x-16-ft-Ground-Contact-Pressure-Treated-Premium-Pine-Decking-Board-253944/206966950?keyword=1-1%2F4+in.+x+6+in.+x+16+ft.+Pressure-Treated+Decking+Board" TargetMode="External"/><Relationship Id="rId79" Type="http://schemas.openxmlformats.org/officeDocument/2006/relationships/comments" Target="../comments1.xml"/><Relationship Id="rId5" Type="http://schemas.openxmlformats.org/officeDocument/2006/relationships/hyperlink" Target="http://www.homedepot.com/p/t/100322532?catalogId=10053&amp;langId=-1&amp;keyword=top+rail&amp;storeId=10051&amp;N=5yc1v&amp;R=100322532" TargetMode="External"/><Relationship Id="rId61" Type="http://schemas.openxmlformats.org/officeDocument/2006/relationships/hyperlink" Target="https://www.homedepot.com/p/Everbilt-3-8-in-x-36-in-Zinc-Threaded-Rod-802237/204273970" TargetMode="External"/><Relationship Id="rId10" Type="http://schemas.openxmlformats.org/officeDocument/2006/relationships/hyperlink" Target="http://www.homedepot.com/p/YARDGARD-1-3-8-in-x-10-ft-6-in-17-Gauge-Galvanized-Steel-Top-Rail-328913DPT/100322532?keyword=181697" TargetMode="External"/><Relationship Id="rId19" Type="http://schemas.openxmlformats.org/officeDocument/2006/relationships/hyperlink" Target="http://www.boltdepot.com/Product-Details.aspx?product=2753" TargetMode="External"/><Relationship Id="rId31" Type="http://schemas.openxmlformats.org/officeDocument/2006/relationships/hyperlink" Target="http://www.boltdepot.com/Product-Details.aspx?product=2977" TargetMode="External"/><Relationship Id="rId44" Type="http://schemas.openxmlformats.org/officeDocument/2006/relationships/hyperlink" Target="https://www.boltdepot.com/Product-Details.aspx?product=2780" TargetMode="External"/><Relationship Id="rId52" Type="http://schemas.openxmlformats.org/officeDocument/2006/relationships/hyperlink" Target="http://www.homedepot.com/p/Unbranded-4-in-Satin-Nickel-5-8-in-Radius-Door-Hinge-15002/202558089" TargetMode="External"/><Relationship Id="rId60" Type="http://schemas.openxmlformats.org/officeDocument/2006/relationships/hyperlink" Target="https://www.homedepot.com/p/Nelson-Wood-Shims-8-in-Homeowner-Pine-Shims-12-Piece-per-Bundle-10011703/301757723" TargetMode="External"/><Relationship Id="rId65" Type="http://schemas.openxmlformats.org/officeDocument/2006/relationships/hyperlink" Target="http://www.homedepot.com/p/YARDGARD-1-3-8-in-x-10-ft-6-in-17-Gauge-Galvanized-Steel-Top-Rail-328913DPT/100322532?keyword=181697" TargetMode="External"/><Relationship Id="rId73" Type="http://schemas.openxmlformats.org/officeDocument/2006/relationships/hyperlink" Target="http://www.johnnyseeds.com/p-5995-anchoring-pins-fabric-staples-box-of-500.aspx" TargetMode="External"/><Relationship Id="rId78" Type="http://schemas.openxmlformats.org/officeDocument/2006/relationships/vmlDrawing" Target="../drawings/vmlDrawing1.vml"/><Relationship Id="rId4" Type="http://schemas.openxmlformats.org/officeDocument/2006/relationships/hyperlink" Target="http://www.johnnyseeds.com/tools-supplies/greenhouse-and-tunnel-supplies/hardware/poly-latch-channel-7041.0.html" TargetMode="External"/><Relationship Id="rId9" Type="http://schemas.openxmlformats.org/officeDocument/2006/relationships/hyperlink" Target="http://www.johnnyseeds.com/tools-supplies/greenhouse-and-tunnel-supplies/greenhouse-film/?src=home_slotd3_20171001" TargetMode="External"/><Relationship Id="rId14" Type="http://schemas.openxmlformats.org/officeDocument/2006/relationships/hyperlink" Target="http://www.johnnyseeds.com/p-8878-sidewall-hand-crank.aspx" TargetMode="External"/><Relationship Id="rId22" Type="http://schemas.openxmlformats.org/officeDocument/2006/relationships/hyperlink" Target="http://www.boltdepot.com/Product-Details.aspx?product=2662" TargetMode="External"/><Relationship Id="rId27" Type="http://schemas.openxmlformats.org/officeDocument/2006/relationships/hyperlink" Target="http://www.homedepot.com/p/Unbranded-3-8-in-16-tpi-x-6-in-Zinc-Plated-Carriage-Bolt-800316/204633673" TargetMode="External"/><Relationship Id="rId30" Type="http://schemas.openxmlformats.org/officeDocument/2006/relationships/hyperlink" Target="https://www.boltdepot.com/Product-Details.aspx?product=23" TargetMode="External"/><Relationship Id="rId35" Type="http://schemas.openxmlformats.org/officeDocument/2006/relationships/hyperlink" Target="http://www.boltdepot.com/Product-Details.aspx?product=2977" TargetMode="External"/><Relationship Id="rId43" Type="http://schemas.openxmlformats.org/officeDocument/2006/relationships/hyperlink" Target="https://www.homedepot.com/p/Grip-Rite-6-x-1-1-4-in-Philips-Bugle-Head-Coarse-Thread-Sharp-Point-Drywall-Screws-1-lb-Pack-114CDWS1/100152392" TargetMode="External"/><Relationship Id="rId48" Type="http://schemas.openxmlformats.org/officeDocument/2006/relationships/hyperlink" Target="http://www.homedepot.com/p/Grip-Rite-8-x-3-in-Phillips-Bugle-Head-Coarse-Thread-Sharp-Point-Polymer-Coated-Exterior-Screws-1-lb-Pack-PTN3S1/100115639?N=5yc1vZc2bl" TargetMode="External"/><Relationship Id="rId56" Type="http://schemas.openxmlformats.org/officeDocument/2006/relationships/hyperlink" Target="https://www.homedepot.com/p/GRK-Fasteners-5-16-in-x-6-in-Star-Drive-Washer-Head-RSS-Structural-Screws-1-Bit-10-Screws-Card-772691132352/301878333" TargetMode="External"/><Relationship Id="rId64" Type="http://schemas.openxmlformats.org/officeDocument/2006/relationships/hyperlink" Target="https://chainlinkfittings.com/store/1-5-8-brace-bands-chain-link-fence.html" TargetMode="External"/><Relationship Id="rId69" Type="http://schemas.openxmlformats.org/officeDocument/2006/relationships/hyperlink" Target="https://www.boltdepot.com/Product-Details.aspx?product=2977" TargetMode="External"/><Relationship Id="rId77" Type="http://schemas.openxmlformats.org/officeDocument/2006/relationships/drawing" Target="../drawings/drawing1.xml"/><Relationship Id="rId8" Type="http://schemas.openxmlformats.org/officeDocument/2006/relationships/hyperlink" Target="http://www.johnnyseeds.com/p-8463-ground-post-driver.aspx" TargetMode="External"/><Relationship Id="rId51" Type="http://schemas.openxmlformats.org/officeDocument/2006/relationships/hyperlink" Target="http://www.homedepot.com/p/Simpson-Strong-Tie-6-in-x-6-in-14-Gauge-L-Strap-66L/100374887" TargetMode="External"/><Relationship Id="rId72" Type="http://schemas.openxmlformats.org/officeDocument/2006/relationships/hyperlink" Target="http://www.johnnyseeds.com/p-5996-pro-5-weed-barrier-landscape-fabric-4-x-250.aspx" TargetMode="External"/><Relationship Id="rId3" Type="http://schemas.openxmlformats.org/officeDocument/2006/relationships/hyperlink" Target="http://www.johnnyseeds.com/tools-supplies/greenhouse-and-tunnel-supplies/hardware/poly-latch-wire-7040.html" TargetMode="External"/><Relationship Id="rId12" Type="http://schemas.openxmlformats.org/officeDocument/2006/relationships/hyperlink" Target="http://www.homedepot.com/p/YARDGARD-1-5-8-in-x-8-ft-16-Gauge-Galvanized-Steel-Line-Post-328923DPT/100322474?keyword=623105" TargetMode="External"/><Relationship Id="rId17" Type="http://schemas.openxmlformats.org/officeDocument/2006/relationships/hyperlink" Target="https://www.homedepot.com/p/Everbilt-4-Zinc-Plated-Steel-Screw-Eye-25-Pack-803662/204273859" TargetMode="External"/><Relationship Id="rId25" Type="http://schemas.openxmlformats.org/officeDocument/2006/relationships/hyperlink" Target="http://www.homedepot.com/p/Unbranded-2-in-x-6-in-x-16-ft-2-Better-Kiln-Dried-Heat-Treated-Spruce-Pine-Fir-Lumber-161799/202086799" TargetMode="External"/><Relationship Id="rId33" Type="http://schemas.openxmlformats.org/officeDocument/2006/relationships/hyperlink" Target="https://www.boltdepot.com/Product-Details.aspx?product=2777" TargetMode="External"/><Relationship Id="rId38" Type="http://schemas.openxmlformats.org/officeDocument/2006/relationships/hyperlink" Target="https://www.boltdepot.com/Product-Details.aspx?product=2779" TargetMode="External"/><Relationship Id="rId46" Type="http://schemas.openxmlformats.org/officeDocument/2006/relationships/hyperlink" Target="http://www.homedepot.com/p/YARDGARD-1-5-8-in-x-6-ft-16-gauge-Galvanized-Steel-Line-Post-328921DPT/100322481?N=5yc1vZc3na" TargetMode="External"/><Relationship Id="rId59" Type="http://schemas.openxmlformats.org/officeDocument/2006/relationships/hyperlink" Target="http://www.homedepot.com/p/Simpson-Strong-Tie-6-in-12-Gauge-Heavy-Strap-Tie-HRS6/100374840" TargetMode="External"/><Relationship Id="rId67" Type="http://schemas.openxmlformats.org/officeDocument/2006/relationships/hyperlink" Target="https://www.boltdepot.com/Product-Details.aspx?product=2978" TargetMode="External"/><Relationship Id="rId20" Type="http://schemas.openxmlformats.org/officeDocument/2006/relationships/hyperlink" Target="http://www.boltdepot.com/Product-Details.aspx?product=2648" TargetMode="External"/><Relationship Id="rId41" Type="http://schemas.openxmlformats.org/officeDocument/2006/relationships/hyperlink" Target="https://www.homedepot.com/p/2-in-x-4-in-x-10-ft-Standard-and-Better-Kiln-Dried-Heat-Treated-Spruce-Pine-Fir-Lumber-161659/100080482" TargetMode="External"/><Relationship Id="rId54" Type="http://schemas.openxmlformats.org/officeDocument/2006/relationships/hyperlink" Target="https://www.homedepot.com/p/Everbilt-3-32-in-x-1-8-in-Zinc-Plated-Clamp-Set-4-Pack-43064/205887661" TargetMode="External"/><Relationship Id="rId62" Type="http://schemas.openxmlformats.org/officeDocument/2006/relationships/hyperlink" Target="https://chainlinkfittings.com/store/1-3-8-brace-bands-chain-link-fence.html" TargetMode="External"/><Relationship Id="rId70" Type="http://schemas.openxmlformats.org/officeDocument/2006/relationships/hyperlink" Target="http://www.homedepot.com/p/Allied-Tube-Conduit-3-4-in-x-10-ft-Electric-Metallic-Tube-Conduit-101550/100400406" TargetMode="External"/><Relationship Id="rId75" Type="http://schemas.openxmlformats.org/officeDocument/2006/relationships/hyperlink" Target="https://www.homedepot.com/p/WeatherShield-5-4-in-x-6-in-x-16-ft-Ground-Contact-Pressure-Treated-Premium-Pine-Decking-Board-253944/206966950?keyword=1-1%2F4+in.+x+6+in.+x+16+ft.+Pressure-Treated+Decking+Board" TargetMode="External"/><Relationship Id="rId1" Type="http://schemas.openxmlformats.org/officeDocument/2006/relationships/hyperlink" Target="http://www.johnnyseeds.com/tools-supplies/greenhouse-and-tunnel-supplies/benders/quick-hoops-gothic-high-tunnel-bender-7300.html" TargetMode="External"/><Relationship Id="rId6" Type="http://schemas.openxmlformats.org/officeDocument/2006/relationships/hyperlink" Target="http://www.boltdepot.com/Product-Details.aspx?product=2405" TargetMode="External"/><Relationship Id="rId15" Type="http://schemas.openxmlformats.org/officeDocument/2006/relationships/hyperlink" Target="http://www.johnnyseeds.com/p-8293-snap-clamps-for-emt-or-pvc.aspx" TargetMode="External"/><Relationship Id="rId23" Type="http://schemas.openxmlformats.org/officeDocument/2006/relationships/hyperlink" Target="http://www.boltdepot.com/Product-Details.aspx?product=2691" TargetMode="External"/><Relationship Id="rId28" Type="http://schemas.openxmlformats.org/officeDocument/2006/relationships/hyperlink" Target="https://www.boltdepot.com/Product-Details.aspx?product=2525" TargetMode="External"/><Relationship Id="rId36" Type="http://schemas.openxmlformats.org/officeDocument/2006/relationships/hyperlink" Target="http://www.boltdepot.com/Product-Details.aspx?product=2649" TargetMode="External"/><Relationship Id="rId49" Type="http://schemas.openxmlformats.org/officeDocument/2006/relationships/hyperlink" Target="http://www.homedepot.com/p/Simpson-Strong-Tie-GA2-18-Gauge-3-1-4-in-Gusset-Angle-GA2/100375243?N=5yc1vZaqzs" TargetMode="External"/><Relationship Id="rId57" Type="http://schemas.openxmlformats.org/officeDocument/2006/relationships/hyperlink" Target="https://www.homedepot.com/p/1-in-x-4-in-x-8-ft-Premium-Kiln-Dried-Square-Edge-Whitewood-Common-Board-914681/10002346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21"/>
  <sheetViews>
    <sheetView showGridLines="0" tabSelected="1" zoomScaleNormal="100" zoomScaleSheetLayoutView="30" workbookViewId="0">
      <selection activeCell="O40" sqref="O40"/>
    </sheetView>
  </sheetViews>
  <sheetFormatPr defaultRowHeight="15" x14ac:dyDescent="0.25"/>
  <cols>
    <col min="1" max="1" width="13.85546875" style="5" customWidth="1"/>
    <col min="2" max="2" width="9.28515625" style="6" customWidth="1"/>
    <col min="3" max="3" width="6" style="6" customWidth="1"/>
    <col min="4" max="4" width="5.42578125" style="6" customWidth="1"/>
    <col min="5" max="5" width="6.140625" style="4" customWidth="1"/>
    <col min="6" max="6" width="28.140625" style="4" customWidth="1"/>
    <col min="7" max="7" width="56" style="4" customWidth="1"/>
    <col min="8" max="8" width="10.7109375" style="9" customWidth="1"/>
    <col min="9" max="9" width="14" style="9" customWidth="1"/>
    <col min="10" max="10" width="2.7109375" style="77" customWidth="1"/>
    <col min="11" max="11" width="2.42578125" style="98" customWidth="1"/>
    <col min="12" max="12" width="5.85546875" style="98" customWidth="1"/>
    <col min="13" max="13" width="10.42578125" style="98" customWidth="1"/>
    <col min="14" max="17" width="9.140625" style="98"/>
    <col min="18" max="18" width="9.140625" style="77"/>
    <col min="19" max="20" width="14.5703125" style="77" hidden="1" customWidth="1"/>
    <col min="21" max="21" width="9.140625" style="77"/>
    <col min="22" max="31" width="9.140625" style="85"/>
    <col min="32" max="36" width="9.140625" style="77"/>
    <col min="37" max="16384" width="9.140625" style="4"/>
  </cols>
  <sheetData>
    <row r="1" spans="1:36" ht="55.5" customHeight="1" x14ac:dyDescent="0.25"/>
    <row r="2" spans="1:36" s="28" customFormat="1" ht="28.5" x14ac:dyDescent="0.25">
      <c r="A2" s="3"/>
      <c r="B2" s="143" t="s">
        <v>35</v>
      </c>
      <c r="C2" s="143"/>
      <c r="D2" s="143"/>
      <c r="E2" s="143"/>
      <c r="F2" s="143"/>
      <c r="G2" s="143"/>
      <c r="H2" s="143"/>
      <c r="I2" s="143"/>
      <c r="J2" s="78"/>
      <c r="K2" s="99"/>
      <c r="L2" s="95"/>
      <c r="M2" s="78"/>
      <c r="N2" s="78"/>
      <c r="O2" s="78"/>
      <c r="P2" s="78"/>
      <c r="Q2" s="78"/>
      <c r="R2" s="78"/>
      <c r="S2" s="78"/>
      <c r="T2" s="78"/>
      <c r="U2" s="78"/>
      <c r="V2" s="87"/>
      <c r="W2" s="87"/>
      <c r="X2" s="87"/>
      <c r="Y2" s="87"/>
      <c r="Z2" s="87"/>
      <c r="AA2" s="87"/>
      <c r="AB2" s="87"/>
      <c r="AC2" s="87"/>
      <c r="AD2" s="87"/>
      <c r="AE2" s="87"/>
      <c r="AF2" s="78"/>
      <c r="AG2" s="78"/>
      <c r="AH2" s="78"/>
      <c r="AI2" s="78"/>
      <c r="AJ2" s="78"/>
    </row>
    <row r="3" spans="1:36" s="28" customFormat="1" x14ac:dyDescent="0.25">
      <c r="A3" s="3"/>
      <c r="B3" s="148" t="s">
        <v>21</v>
      </c>
      <c r="C3" s="148"/>
      <c r="D3" s="148"/>
      <c r="E3" s="148"/>
      <c r="F3" s="148"/>
      <c r="G3" s="148"/>
      <c r="H3" s="148"/>
      <c r="I3" s="148"/>
      <c r="J3" s="78"/>
      <c r="K3" s="99"/>
      <c r="L3" s="95"/>
      <c r="M3" s="78"/>
      <c r="N3" s="78"/>
      <c r="O3" s="78"/>
      <c r="P3" s="78"/>
      <c r="Q3" s="78"/>
      <c r="R3" s="78"/>
      <c r="S3" s="78"/>
      <c r="T3" s="78"/>
      <c r="U3" s="78"/>
      <c r="V3" s="87"/>
      <c r="W3" s="87"/>
      <c r="X3" s="87"/>
      <c r="Y3" s="87"/>
      <c r="Z3" s="87"/>
      <c r="AA3" s="87"/>
      <c r="AB3" s="87"/>
      <c r="AC3" s="87"/>
      <c r="AD3" s="87"/>
      <c r="AE3" s="87"/>
      <c r="AF3" s="78"/>
      <c r="AG3" s="78"/>
      <c r="AH3" s="78"/>
      <c r="AI3" s="78"/>
      <c r="AJ3" s="78"/>
    </row>
    <row r="4" spans="1:36" s="28" customFormat="1" ht="5.25" customHeight="1" x14ac:dyDescent="0.25">
      <c r="A4" s="3"/>
      <c r="B4" s="11"/>
      <c r="C4" s="11"/>
      <c r="D4" s="11"/>
      <c r="E4" s="11"/>
      <c r="F4" s="11"/>
      <c r="G4" s="11"/>
      <c r="H4" s="11"/>
      <c r="I4" s="11"/>
      <c r="J4" s="78"/>
      <c r="K4" s="99"/>
      <c r="L4" s="95"/>
      <c r="M4" s="78"/>
      <c r="N4" s="78"/>
      <c r="O4" s="78"/>
      <c r="P4" s="78"/>
      <c r="Q4" s="78"/>
      <c r="R4" s="78"/>
      <c r="S4" s="78"/>
      <c r="T4" s="78"/>
      <c r="U4" s="78"/>
      <c r="V4" s="87"/>
      <c r="W4" s="87"/>
      <c r="X4" s="87"/>
      <c r="Y4" s="87"/>
      <c r="Z4" s="87"/>
      <c r="AA4" s="87"/>
      <c r="AB4" s="87"/>
      <c r="AC4" s="87"/>
      <c r="AD4" s="87"/>
      <c r="AE4" s="87"/>
      <c r="AF4" s="78"/>
      <c r="AG4" s="78"/>
      <c r="AH4" s="78"/>
      <c r="AI4" s="78"/>
      <c r="AJ4" s="78"/>
    </row>
    <row r="5" spans="1:36" s="22" customFormat="1" ht="18" customHeight="1" x14ac:dyDescent="0.25">
      <c r="A5" s="70"/>
      <c r="B5" s="149" t="s">
        <v>12</v>
      </c>
      <c r="C5" s="149"/>
      <c r="D5" s="149"/>
      <c r="E5" s="149"/>
      <c r="H5" s="16" t="s">
        <v>10</v>
      </c>
      <c r="I5" s="63">
        <f>14*D7</f>
        <v>1400</v>
      </c>
      <c r="J5" s="79"/>
      <c r="K5" s="100"/>
      <c r="L5" s="101"/>
      <c r="M5" s="79"/>
      <c r="N5" s="79"/>
      <c r="O5" s="79"/>
      <c r="P5" s="79"/>
      <c r="Q5" s="79"/>
      <c r="R5" s="79"/>
      <c r="S5" s="79"/>
      <c r="T5" s="79"/>
      <c r="U5" s="79"/>
      <c r="V5" s="88"/>
      <c r="W5" s="88"/>
      <c r="X5" s="88"/>
      <c r="Y5" s="88"/>
      <c r="Z5" s="88"/>
      <c r="AA5" s="88"/>
      <c r="AB5" s="88"/>
      <c r="AC5" s="88"/>
      <c r="AD5" s="88"/>
      <c r="AE5" s="88"/>
      <c r="AF5" s="79"/>
      <c r="AG5" s="79"/>
      <c r="AH5" s="79"/>
      <c r="AI5" s="79"/>
      <c r="AJ5" s="79"/>
    </row>
    <row r="6" spans="1:36" s="22" customFormat="1" ht="4.5" customHeight="1" x14ac:dyDescent="0.25">
      <c r="A6" s="70"/>
      <c r="B6" s="24"/>
      <c r="C6" s="24"/>
      <c r="D6" s="34"/>
      <c r="E6" s="24"/>
      <c r="H6" s="16"/>
      <c r="I6" s="63"/>
      <c r="J6" s="79"/>
      <c r="K6" s="100"/>
      <c r="L6" s="101"/>
      <c r="M6" s="79"/>
      <c r="N6" s="79"/>
      <c r="O6" s="79"/>
      <c r="P6" s="79"/>
      <c r="Q6" s="79"/>
      <c r="R6" s="79"/>
      <c r="S6" s="79"/>
      <c r="T6" s="79"/>
      <c r="U6" s="79"/>
      <c r="V6" s="88"/>
      <c r="W6" s="88"/>
      <c r="X6" s="88"/>
      <c r="Y6" s="88"/>
      <c r="Z6" s="88"/>
      <c r="AA6" s="88"/>
      <c r="AB6" s="88"/>
      <c r="AC6" s="88"/>
      <c r="AD6" s="88"/>
      <c r="AE6" s="88"/>
      <c r="AF6" s="79"/>
      <c r="AG6" s="79"/>
      <c r="AH6" s="79"/>
      <c r="AI6" s="79"/>
      <c r="AJ6" s="79"/>
    </row>
    <row r="7" spans="1:36" s="22" customFormat="1" ht="19.5" customHeight="1" x14ac:dyDescent="0.25">
      <c r="A7" s="70"/>
      <c r="B7" s="144" t="s">
        <v>13</v>
      </c>
      <c r="C7" s="145"/>
      <c r="D7" s="38">
        <v>100</v>
      </c>
      <c r="E7" s="36" t="s">
        <v>22</v>
      </c>
      <c r="F7" s="22" t="s">
        <v>23</v>
      </c>
      <c r="G7" s="17"/>
      <c r="H7" s="16" t="s">
        <v>11</v>
      </c>
      <c r="I7" s="64">
        <f>I109/I5</f>
        <v>3.1139000000000001</v>
      </c>
      <c r="J7" s="79"/>
      <c r="K7" s="100"/>
      <c r="L7" s="101"/>
      <c r="M7" s="79"/>
      <c r="N7" s="79"/>
      <c r="O7" s="79"/>
      <c r="P7" s="79"/>
      <c r="Q7" s="79"/>
      <c r="R7" s="79"/>
      <c r="S7" s="79"/>
      <c r="T7" s="79"/>
      <c r="U7" s="79"/>
      <c r="V7" s="88"/>
      <c r="W7" s="88"/>
      <c r="X7" s="88"/>
      <c r="Y7" s="88"/>
      <c r="Z7" s="88"/>
      <c r="AA7" s="88"/>
      <c r="AB7" s="88"/>
      <c r="AC7" s="88"/>
      <c r="AD7" s="88"/>
      <c r="AE7" s="88"/>
      <c r="AF7" s="79"/>
      <c r="AG7" s="79"/>
      <c r="AH7" s="79"/>
      <c r="AI7" s="79"/>
      <c r="AJ7" s="79"/>
    </row>
    <row r="8" spans="1:36" s="22" customFormat="1" ht="19.5" customHeight="1" x14ac:dyDescent="0.25">
      <c r="A8" s="70"/>
      <c r="B8" s="152" t="s">
        <v>24</v>
      </c>
      <c r="C8" s="153"/>
      <c r="D8" s="25">
        <v>4</v>
      </c>
      <c r="E8" s="39" t="s">
        <v>22</v>
      </c>
      <c r="F8" s="22" t="s">
        <v>25</v>
      </c>
      <c r="G8" s="17"/>
      <c r="J8" s="79"/>
      <c r="K8" s="100"/>
      <c r="L8" s="101"/>
      <c r="M8" s="79"/>
      <c r="N8" s="79"/>
      <c r="O8" s="79"/>
      <c r="P8" s="79"/>
      <c r="Q8" s="79"/>
      <c r="R8" s="79"/>
      <c r="S8" s="79"/>
      <c r="T8" s="79"/>
      <c r="U8" s="79"/>
      <c r="V8" s="88"/>
      <c r="W8" s="88"/>
      <c r="X8" s="88"/>
      <c r="Y8" s="88"/>
      <c r="Z8" s="88"/>
      <c r="AA8" s="88"/>
      <c r="AB8" s="88"/>
      <c r="AC8" s="88"/>
      <c r="AD8" s="88"/>
      <c r="AE8" s="88"/>
      <c r="AF8" s="79"/>
      <c r="AG8" s="79"/>
      <c r="AH8" s="79"/>
      <c r="AI8" s="79"/>
      <c r="AJ8" s="79"/>
    </row>
    <row r="9" spans="1:36" s="22" customFormat="1" ht="5.25" customHeight="1" x14ac:dyDescent="0.25">
      <c r="A9" s="70"/>
      <c r="D9" s="37"/>
      <c r="E9" s="39"/>
      <c r="F9" s="21"/>
      <c r="G9" s="17"/>
      <c r="I9" s="40"/>
      <c r="J9" s="79"/>
      <c r="K9" s="100"/>
      <c r="L9" s="101"/>
      <c r="M9" s="79"/>
      <c r="N9" s="79"/>
      <c r="O9" s="79"/>
      <c r="P9" s="79"/>
      <c r="Q9" s="79"/>
      <c r="R9" s="79"/>
      <c r="S9" s="79"/>
      <c r="T9" s="79"/>
      <c r="U9" s="79"/>
      <c r="V9" s="88"/>
      <c r="W9" s="88"/>
      <c r="X9" s="88"/>
      <c r="Y9" s="88"/>
      <c r="Z9" s="88"/>
      <c r="AA9" s="88"/>
      <c r="AB9" s="88"/>
      <c r="AC9" s="88"/>
      <c r="AD9" s="88"/>
      <c r="AE9" s="88"/>
      <c r="AF9" s="79"/>
      <c r="AG9" s="79"/>
      <c r="AH9" s="79"/>
      <c r="AI9" s="79"/>
      <c r="AJ9" s="79"/>
    </row>
    <row r="10" spans="1:36" s="22" customFormat="1" ht="18" customHeight="1" x14ac:dyDescent="0.25">
      <c r="A10" s="84"/>
      <c r="B10" s="150" t="s">
        <v>26</v>
      </c>
      <c r="C10" s="150"/>
      <c r="D10" s="144">
        <f>D7/D8</f>
        <v>25</v>
      </c>
      <c r="E10" s="144"/>
      <c r="F10" s="151"/>
      <c r="G10" s="151"/>
      <c r="H10" s="151"/>
      <c r="I10" s="151"/>
      <c r="J10" s="79"/>
      <c r="K10" s="100"/>
      <c r="L10" s="101"/>
      <c r="M10" s="79"/>
      <c r="N10" s="79"/>
      <c r="O10" s="79"/>
      <c r="P10" s="79"/>
      <c r="Q10" s="79"/>
      <c r="R10" s="79"/>
      <c r="S10" s="79"/>
      <c r="T10" s="79"/>
      <c r="U10" s="79"/>
      <c r="V10" s="88"/>
      <c r="W10" s="88"/>
      <c r="X10" s="88"/>
      <c r="Y10" s="88"/>
      <c r="Z10" s="88"/>
      <c r="AA10" s="88"/>
      <c r="AB10" s="88"/>
      <c r="AC10" s="88"/>
      <c r="AD10" s="88"/>
      <c r="AE10" s="88"/>
      <c r="AF10" s="79"/>
      <c r="AG10" s="79"/>
      <c r="AH10" s="79"/>
      <c r="AI10" s="79"/>
      <c r="AJ10" s="79"/>
    </row>
    <row r="11" spans="1:36" s="28" customFormat="1" ht="18" customHeight="1" x14ac:dyDescent="0.25">
      <c r="A11" s="80" t="s">
        <v>42</v>
      </c>
      <c r="B11" s="150" t="s">
        <v>5</v>
      </c>
      <c r="C11" s="150"/>
      <c r="D11" s="35">
        <f>D10+1</f>
        <v>26</v>
      </c>
      <c r="E11" s="35"/>
      <c r="F11" s="22"/>
      <c r="H11" s="2"/>
      <c r="I11" s="2"/>
      <c r="J11" s="78"/>
      <c r="K11" s="78"/>
      <c r="L11" s="80"/>
      <c r="M11" s="78"/>
      <c r="N11" s="78"/>
      <c r="O11" s="78"/>
      <c r="P11" s="78"/>
      <c r="Q11" s="78"/>
      <c r="R11" s="78"/>
      <c r="S11" s="78"/>
      <c r="T11" s="78"/>
      <c r="U11" s="78"/>
      <c r="V11" s="87"/>
      <c r="W11" s="87"/>
      <c r="X11" s="87"/>
      <c r="Y11" s="87"/>
      <c r="Z11" s="87"/>
      <c r="AA11" s="87"/>
      <c r="AB11" s="87"/>
      <c r="AC11" s="87"/>
      <c r="AD11" s="87"/>
      <c r="AE11" s="87"/>
      <c r="AF11" s="78"/>
      <c r="AG11" s="78"/>
      <c r="AH11" s="78"/>
      <c r="AI11" s="78"/>
      <c r="AJ11" s="78"/>
    </row>
    <row r="12" spans="1:36" s="28" customFormat="1" ht="5.25" customHeight="1" x14ac:dyDescent="0.25">
      <c r="A12" s="80"/>
      <c r="B12" s="35"/>
      <c r="C12" s="35"/>
      <c r="D12" s="15"/>
      <c r="E12" s="35"/>
      <c r="F12" s="22"/>
      <c r="H12" s="2"/>
      <c r="I12" s="2"/>
      <c r="J12" s="78"/>
      <c r="K12" s="80"/>
      <c r="L12" s="80"/>
      <c r="M12" s="102"/>
      <c r="N12" s="80"/>
      <c r="O12" s="80"/>
      <c r="P12" s="80"/>
      <c r="Q12" s="80"/>
      <c r="R12" s="78"/>
      <c r="S12" s="78"/>
      <c r="T12" s="78"/>
      <c r="U12" s="78"/>
      <c r="V12" s="87"/>
      <c r="W12" s="87"/>
      <c r="X12" s="87"/>
      <c r="Y12" s="87"/>
      <c r="Z12" s="87"/>
      <c r="AA12" s="87"/>
      <c r="AB12" s="87"/>
      <c r="AC12" s="87"/>
      <c r="AD12" s="87"/>
      <c r="AE12" s="87"/>
      <c r="AF12" s="78"/>
      <c r="AG12" s="78"/>
      <c r="AH12" s="78"/>
      <c r="AI12" s="78"/>
      <c r="AJ12" s="78"/>
    </row>
    <row r="13" spans="1:36" s="1" customFormat="1" ht="16.5" customHeight="1" x14ac:dyDescent="0.25">
      <c r="A13" s="129">
        <f>IF(B15="x",4,IF(AND(B13=2,B14="",B15="", B17="x",B18=""),1,IF(AND(B13=1,B14=1,B15="", B17="x",B18=""),2,IF(AND(B13="",B14=2,B15="", B17="x",B18=""),3,IF(AND(B13="",B14="",B15="", B17="",B18="x"),1,IF(AND(B13=2,B14="",B15="", B17="",B18="x"),5,IF(AND(B13=1,B14=1,B15="", B17="",B18="x"),6,7)))))))</f>
        <v>2</v>
      </c>
      <c r="B13" s="25">
        <v>1</v>
      </c>
      <c r="C13" s="65" t="s">
        <v>36</v>
      </c>
      <c r="D13" s="15"/>
      <c r="E13" s="23"/>
      <c r="F13" s="22"/>
      <c r="G13" s="141" t="str">
        <f>IF(AND(B13="", B14="", B15="x"),"", IF(AND((B13+B14)=2,B15=""),"", "Type '1' or '2' next to your choice for End Wall Options.  You may choose 1 of each kind, 2 of one kind or the other, or leave those choices blank and place an 'X' in the third box and the calculator will not calculate them."))</f>
        <v/>
      </c>
      <c r="H13" s="141"/>
      <c r="I13" s="141"/>
      <c r="J13" s="78"/>
      <c r="K13" s="80"/>
      <c r="L13" s="80"/>
      <c r="M13" s="80"/>
      <c r="N13" s="80"/>
      <c r="O13" s="80"/>
      <c r="P13" s="80"/>
      <c r="Q13" s="80"/>
      <c r="R13" s="78"/>
      <c r="S13" s="78"/>
      <c r="T13" s="78"/>
      <c r="U13" s="78"/>
      <c r="V13" s="87"/>
      <c r="W13" s="87"/>
      <c r="X13" s="87"/>
      <c r="Y13" s="87"/>
      <c r="Z13" s="87"/>
      <c r="AA13" s="87"/>
      <c r="AB13" s="87"/>
      <c r="AC13" s="87"/>
      <c r="AD13" s="87"/>
      <c r="AE13" s="87"/>
      <c r="AF13" s="78"/>
      <c r="AG13" s="78"/>
      <c r="AH13" s="78"/>
      <c r="AI13" s="78"/>
      <c r="AJ13" s="78"/>
    </row>
    <row r="14" spans="1:36" s="1" customFormat="1" ht="16.5" customHeight="1" x14ac:dyDescent="0.25">
      <c r="A14" s="129"/>
      <c r="B14" s="25">
        <v>1</v>
      </c>
      <c r="C14" s="65" t="s">
        <v>37</v>
      </c>
      <c r="D14" s="15"/>
      <c r="E14" s="23"/>
      <c r="F14" s="22"/>
      <c r="G14" s="141"/>
      <c r="H14" s="141"/>
      <c r="I14" s="141"/>
      <c r="J14" s="78"/>
      <c r="K14" s="80"/>
      <c r="L14" s="80"/>
      <c r="M14" s="80" t="s">
        <v>18</v>
      </c>
      <c r="N14" s="80"/>
      <c r="O14" s="80"/>
      <c r="P14" s="80"/>
      <c r="Q14" s="80"/>
      <c r="R14" s="78"/>
      <c r="S14" s="78"/>
      <c r="T14" s="78"/>
      <c r="U14" s="78"/>
      <c r="V14" s="87"/>
      <c r="W14" s="87"/>
      <c r="X14" s="87"/>
      <c r="Y14" s="87"/>
      <c r="Z14" s="87"/>
      <c r="AA14" s="87"/>
      <c r="AB14" s="87"/>
      <c r="AC14" s="87"/>
      <c r="AD14" s="87"/>
      <c r="AE14" s="87"/>
      <c r="AF14" s="78"/>
      <c r="AG14" s="78"/>
      <c r="AH14" s="78"/>
      <c r="AI14" s="78"/>
      <c r="AJ14" s="78"/>
    </row>
    <row r="15" spans="1:36" s="28" customFormat="1" ht="16.5" customHeight="1" x14ac:dyDescent="0.25">
      <c r="A15" s="129"/>
      <c r="B15" s="25"/>
      <c r="C15" s="67" t="s">
        <v>40</v>
      </c>
      <c r="D15" s="15"/>
      <c r="E15" s="67"/>
      <c r="F15" s="66"/>
      <c r="G15" s="141"/>
      <c r="H15" s="141"/>
      <c r="I15" s="141"/>
      <c r="J15" s="78"/>
      <c r="K15" s="80"/>
      <c r="L15" s="80"/>
      <c r="M15" s="80"/>
      <c r="N15" s="80"/>
      <c r="O15" s="80"/>
      <c r="P15" s="80"/>
      <c r="Q15" s="80"/>
      <c r="R15" s="78"/>
      <c r="S15" s="78"/>
      <c r="T15" s="78"/>
      <c r="U15" s="78"/>
      <c r="V15" s="87"/>
      <c r="W15" s="87"/>
      <c r="X15" s="87"/>
      <c r="Y15" s="87"/>
      <c r="Z15" s="87"/>
      <c r="AA15" s="87"/>
      <c r="AB15" s="87"/>
      <c r="AC15" s="87"/>
      <c r="AD15" s="87"/>
      <c r="AE15" s="87"/>
      <c r="AF15" s="78"/>
      <c r="AG15" s="78"/>
      <c r="AH15" s="78"/>
      <c r="AI15" s="78"/>
      <c r="AJ15" s="78"/>
    </row>
    <row r="16" spans="1:36" s="1" customFormat="1" ht="5.25" customHeight="1" x14ac:dyDescent="0.25">
      <c r="A16" s="129"/>
      <c r="B16" s="23"/>
      <c r="C16" s="23"/>
      <c r="D16" s="15"/>
      <c r="E16" s="23"/>
      <c r="F16" s="22"/>
      <c r="H16" s="2"/>
      <c r="I16" s="2"/>
      <c r="J16" s="78"/>
      <c r="K16" s="80"/>
      <c r="L16" s="80"/>
      <c r="M16" s="80"/>
      <c r="N16" s="80"/>
      <c r="O16" s="80"/>
      <c r="P16" s="80"/>
      <c r="Q16" s="80"/>
      <c r="R16" s="78"/>
      <c r="S16" s="78"/>
      <c r="T16" s="78"/>
      <c r="U16" s="78"/>
      <c r="V16" s="87"/>
      <c r="W16" s="87"/>
      <c r="X16" s="87"/>
      <c r="Y16" s="87"/>
      <c r="Z16" s="87"/>
      <c r="AA16" s="87"/>
      <c r="AB16" s="87"/>
      <c r="AC16" s="87"/>
      <c r="AD16" s="87"/>
      <c r="AE16" s="87"/>
      <c r="AF16" s="78"/>
      <c r="AG16" s="78"/>
      <c r="AH16" s="78"/>
      <c r="AI16" s="78"/>
      <c r="AJ16" s="78"/>
    </row>
    <row r="17" spans="1:36" s="1" customFormat="1" ht="15.75" customHeight="1" x14ac:dyDescent="0.25">
      <c r="A17" s="129"/>
      <c r="B17" s="25" t="s">
        <v>39</v>
      </c>
      <c r="C17" s="67" t="s">
        <v>19</v>
      </c>
      <c r="D17" s="15"/>
      <c r="E17" s="29"/>
      <c r="F17" s="22"/>
      <c r="G17" s="141" t="str">
        <f>IF(AND(B17="x",B18=""),"",IF(AND(B17="",B18="x"),"", "Type 'X' next to your choice for Roll-up Sides.               Please make only one choice."))</f>
        <v/>
      </c>
      <c r="H17" s="141"/>
      <c r="I17" s="141"/>
      <c r="J17" s="78"/>
      <c r="K17" s="80"/>
      <c r="L17" s="80"/>
      <c r="M17" s="80"/>
      <c r="N17" s="80"/>
      <c r="O17" s="80"/>
      <c r="P17" s="80"/>
      <c r="Q17" s="80"/>
      <c r="R17" s="78"/>
      <c r="S17" s="78"/>
      <c r="T17" s="78"/>
      <c r="U17" s="78"/>
      <c r="V17" s="87"/>
      <c r="W17" s="87"/>
      <c r="X17" s="87"/>
      <c r="Y17" s="87"/>
      <c r="Z17" s="87"/>
      <c r="AA17" s="87"/>
      <c r="AB17" s="87"/>
      <c r="AC17" s="87"/>
      <c r="AD17" s="87"/>
      <c r="AE17" s="87"/>
      <c r="AF17" s="78"/>
      <c r="AG17" s="78"/>
      <c r="AH17" s="78"/>
      <c r="AI17" s="78"/>
      <c r="AJ17" s="78"/>
    </row>
    <row r="18" spans="1:36" s="1" customFormat="1" ht="15.75" customHeight="1" x14ac:dyDescent="0.25">
      <c r="A18" s="129"/>
      <c r="B18" s="25"/>
      <c r="C18" s="67" t="s">
        <v>20</v>
      </c>
      <c r="D18" s="15"/>
      <c r="E18" s="29"/>
      <c r="F18" s="22"/>
      <c r="G18" s="141"/>
      <c r="H18" s="141"/>
      <c r="I18" s="141"/>
      <c r="J18" s="78"/>
      <c r="K18" s="80"/>
      <c r="L18" s="80"/>
      <c r="M18" s="80"/>
      <c r="N18" s="80"/>
      <c r="O18" s="80"/>
      <c r="P18" s="80"/>
      <c r="Q18" s="80"/>
      <c r="R18" s="78"/>
      <c r="S18" s="78"/>
      <c r="T18" s="78"/>
      <c r="U18" s="78"/>
      <c r="V18" s="87"/>
      <c r="W18" s="87"/>
      <c r="X18" s="87"/>
      <c r="Y18" s="87"/>
      <c r="Z18" s="87"/>
      <c r="AA18" s="87"/>
      <c r="AB18" s="87"/>
      <c r="AC18" s="87"/>
      <c r="AD18" s="87"/>
      <c r="AE18" s="87"/>
      <c r="AF18" s="78"/>
      <c r="AG18" s="78"/>
      <c r="AH18" s="78"/>
      <c r="AI18" s="78"/>
      <c r="AJ18" s="78"/>
    </row>
    <row r="19" spans="1:36" s="28" customFormat="1" ht="4.5" customHeight="1" x14ac:dyDescent="0.25">
      <c r="A19" s="10"/>
      <c r="B19" s="68"/>
      <c r="C19" s="68"/>
      <c r="D19" s="15"/>
      <c r="E19" s="68"/>
      <c r="F19" s="69"/>
      <c r="H19" s="2"/>
      <c r="I19" s="2"/>
      <c r="J19" s="78"/>
      <c r="K19" s="80"/>
      <c r="L19" s="80"/>
      <c r="M19" s="80"/>
      <c r="N19" s="80"/>
      <c r="O19" s="80"/>
      <c r="P19" s="80"/>
      <c r="Q19" s="80"/>
      <c r="R19" s="78"/>
      <c r="S19" s="78"/>
      <c r="T19" s="78"/>
      <c r="U19" s="78"/>
      <c r="V19" s="87"/>
      <c r="W19" s="87"/>
      <c r="X19" s="87"/>
      <c r="Y19" s="87"/>
      <c r="Z19" s="87"/>
      <c r="AA19" s="87"/>
      <c r="AB19" s="87"/>
      <c r="AC19" s="87"/>
      <c r="AD19" s="87"/>
      <c r="AE19" s="87"/>
      <c r="AF19" s="78"/>
      <c r="AG19" s="78"/>
      <c r="AH19" s="78"/>
      <c r="AI19" s="78"/>
      <c r="AJ19" s="78"/>
    </row>
    <row r="20" spans="1:36" s="28" customFormat="1" ht="15.75" customHeight="1" x14ac:dyDescent="0.25">
      <c r="A20" s="10"/>
      <c r="B20" s="25" t="s">
        <v>39</v>
      </c>
      <c r="C20" s="68" t="s">
        <v>49</v>
      </c>
      <c r="D20" s="15"/>
      <c r="E20" s="68"/>
      <c r="F20" s="69"/>
      <c r="G20" s="141" t="str">
        <f>IF(AND(B20="x",B21=""),"",IF(AND(B20="",B21="x"),"", "Type 'X' next to your choice for Weed Barrier.               Please make only one choice."))</f>
        <v/>
      </c>
      <c r="H20" s="141"/>
      <c r="I20" s="141"/>
      <c r="J20" s="78"/>
      <c r="K20" s="80"/>
      <c r="L20" s="80"/>
      <c r="M20" s="80"/>
      <c r="N20" s="80"/>
      <c r="O20" s="80"/>
      <c r="P20" s="80"/>
      <c r="Q20" s="80"/>
      <c r="R20" s="78"/>
      <c r="S20" s="78"/>
      <c r="T20" s="78"/>
      <c r="U20" s="78"/>
      <c r="V20" s="87"/>
      <c r="W20" s="87"/>
      <c r="X20" s="87"/>
      <c r="Y20" s="87"/>
      <c r="Z20" s="87"/>
      <c r="AA20" s="87"/>
      <c r="AB20" s="87"/>
      <c r="AC20" s="87"/>
      <c r="AD20" s="87"/>
      <c r="AE20" s="87"/>
      <c r="AF20" s="78"/>
      <c r="AG20" s="78"/>
      <c r="AH20" s="78"/>
      <c r="AI20" s="78"/>
      <c r="AJ20" s="78"/>
    </row>
    <row r="21" spans="1:36" s="28" customFormat="1" ht="15.75" customHeight="1" x14ac:dyDescent="0.25">
      <c r="A21" s="10"/>
      <c r="B21" s="25"/>
      <c r="C21" s="68" t="s">
        <v>48</v>
      </c>
      <c r="D21" s="15"/>
      <c r="E21" s="68"/>
      <c r="F21" s="69"/>
      <c r="G21" s="141"/>
      <c r="H21" s="141"/>
      <c r="I21" s="141"/>
      <c r="J21" s="78"/>
      <c r="K21" s="80"/>
      <c r="L21" s="80"/>
      <c r="M21" s="80"/>
      <c r="N21" s="80"/>
      <c r="O21" s="80"/>
      <c r="P21" s="80"/>
      <c r="Q21" s="80"/>
      <c r="R21" s="78"/>
      <c r="S21" s="78"/>
      <c r="T21" s="78"/>
      <c r="U21" s="78"/>
      <c r="V21" s="87"/>
      <c r="W21" s="87"/>
      <c r="X21" s="87"/>
      <c r="Y21" s="87"/>
      <c r="Z21" s="87"/>
      <c r="AA21" s="87"/>
      <c r="AB21" s="87"/>
      <c r="AC21" s="87"/>
      <c r="AD21" s="87"/>
      <c r="AE21" s="87"/>
      <c r="AF21" s="78"/>
      <c r="AG21" s="78"/>
      <c r="AH21" s="78"/>
      <c r="AI21" s="78"/>
      <c r="AJ21" s="78"/>
    </row>
    <row r="22" spans="1:36" s="28" customFormat="1" ht="5.25" customHeight="1" x14ac:dyDescent="0.25">
      <c r="A22" s="3"/>
      <c r="B22" s="35"/>
      <c r="C22" s="35"/>
      <c r="D22" s="15"/>
      <c r="E22" s="35"/>
      <c r="F22" s="22"/>
      <c r="H22" s="2"/>
      <c r="I22" s="2"/>
      <c r="J22" s="78"/>
      <c r="K22" s="80"/>
      <c r="L22" s="80"/>
      <c r="M22" s="80"/>
      <c r="N22" s="80"/>
      <c r="O22" s="80"/>
      <c r="P22" s="80"/>
      <c r="Q22" s="80"/>
      <c r="R22" s="78"/>
      <c r="S22" s="78"/>
      <c r="T22" s="78"/>
      <c r="U22" s="78"/>
      <c r="V22" s="87"/>
      <c r="W22" s="87"/>
      <c r="X22" s="87"/>
      <c r="Y22" s="87"/>
      <c r="Z22" s="87"/>
      <c r="AA22" s="87"/>
      <c r="AB22" s="87"/>
      <c r="AC22" s="87"/>
      <c r="AD22" s="87"/>
      <c r="AE22" s="87"/>
      <c r="AF22" s="78"/>
      <c r="AG22" s="78"/>
      <c r="AH22" s="78"/>
      <c r="AI22" s="78"/>
      <c r="AJ22" s="78"/>
    </row>
    <row r="23" spans="1:36" s="1" customFormat="1" ht="5.25" customHeight="1" x14ac:dyDescent="0.25">
      <c r="A23" s="3"/>
      <c r="B23" s="23"/>
      <c r="C23" s="23"/>
      <c r="D23" s="15"/>
      <c r="E23" s="23"/>
      <c r="F23" s="22"/>
      <c r="H23" s="2"/>
      <c r="I23" s="2"/>
      <c r="J23" s="78"/>
      <c r="K23" s="80"/>
      <c r="L23" s="80"/>
      <c r="M23" s="80"/>
      <c r="N23" s="80"/>
      <c r="O23" s="80"/>
      <c r="P23" s="80"/>
      <c r="Q23" s="80"/>
      <c r="R23" s="78"/>
      <c r="S23" s="78"/>
      <c r="T23" s="78"/>
      <c r="U23" s="78"/>
      <c r="V23" s="87"/>
      <c r="W23" s="87"/>
      <c r="X23" s="87"/>
      <c r="Y23" s="87"/>
      <c r="Z23" s="87"/>
      <c r="AA23" s="87"/>
      <c r="AB23" s="87"/>
      <c r="AC23" s="87"/>
      <c r="AD23" s="87"/>
      <c r="AE23" s="87"/>
      <c r="AF23" s="78"/>
      <c r="AG23" s="78"/>
      <c r="AH23" s="78"/>
      <c r="AI23" s="78"/>
      <c r="AJ23" s="78"/>
    </row>
    <row r="24" spans="1:36" s="3" customFormat="1" x14ac:dyDescent="0.25">
      <c r="B24" s="18" t="s">
        <v>0</v>
      </c>
      <c r="C24" s="18" t="s">
        <v>6</v>
      </c>
      <c r="D24" s="146" t="s">
        <v>8</v>
      </c>
      <c r="E24" s="147"/>
      <c r="F24" s="19" t="s">
        <v>16</v>
      </c>
      <c r="G24" s="19" t="s">
        <v>1</v>
      </c>
      <c r="H24" s="20" t="s">
        <v>2</v>
      </c>
      <c r="I24" s="20" t="s">
        <v>3</v>
      </c>
      <c r="J24" s="80"/>
      <c r="K24" s="80"/>
      <c r="L24" s="80"/>
      <c r="M24" s="80"/>
      <c r="N24" s="80"/>
      <c r="O24" s="80"/>
      <c r="P24" s="80"/>
      <c r="Q24" s="80"/>
      <c r="R24" s="80"/>
      <c r="S24" s="80"/>
      <c r="T24" s="80"/>
      <c r="U24" s="80"/>
      <c r="V24" s="89"/>
      <c r="W24" s="89"/>
      <c r="X24" s="89"/>
      <c r="Y24" s="89"/>
      <c r="Z24" s="89"/>
      <c r="AA24" s="89"/>
      <c r="AB24" s="89"/>
      <c r="AC24" s="89"/>
      <c r="AD24" s="89"/>
      <c r="AE24" s="89"/>
      <c r="AF24" s="80"/>
      <c r="AG24" s="80"/>
      <c r="AH24" s="80"/>
      <c r="AI24" s="80"/>
      <c r="AJ24" s="80"/>
    </row>
    <row r="25" spans="1:36" s="58" customFormat="1" ht="12.75" x14ac:dyDescent="0.25">
      <c r="A25" s="59"/>
      <c r="B25" s="135" t="s">
        <v>28</v>
      </c>
      <c r="C25" s="136"/>
      <c r="D25" s="136"/>
      <c r="E25" s="136"/>
      <c r="F25" s="136"/>
      <c r="G25" s="134" t="s">
        <v>33</v>
      </c>
      <c r="H25" s="134"/>
      <c r="I25" s="57">
        <f>SUM(I26:I27)</f>
        <v>122</v>
      </c>
      <c r="J25" s="81"/>
      <c r="K25" s="103"/>
      <c r="L25" s="103"/>
      <c r="M25" s="103"/>
      <c r="N25" s="103"/>
      <c r="O25" s="103"/>
      <c r="P25" s="103"/>
      <c r="Q25" s="103"/>
      <c r="R25" s="81"/>
      <c r="S25" s="81"/>
      <c r="T25" s="81"/>
      <c r="U25" s="81"/>
      <c r="V25" s="90"/>
      <c r="W25" s="90"/>
      <c r="X25" s="90"/>
      <c r="Y25" s="90"/>
      <c r="Z25" s="90"/>
      <c r="AA25" s="90"/>
      <c r="AB25" s="90"/>
      <c r="AC25" s="90"/>
      <c r="AD25" s="90"/>
      <c r="AE25" s="90"/>
      <c r="AF25" s="81"/>
      <c r="AG25" s="81"/>
      <c r="AH25" s="81"/>
      <c r="AI25" s="81"/>
      <c r="AJ25" s="81"/>
    </row>
    <row r="26" spans="1:36" s="28" customFormat="1" x14ac:dyDescent="0.25">
      <c r="A26" s="3"/>
      <c r="B26" s="45">
        <v>1</v>
      </c>
      <c r="C26" s="45" t="s">
        <v>7</v>
      </c>
      <c r="D26" s="125">
        <v>7300</v>
      </c>
      <c r="E26" s="126"/>
      <c r="F26" s="46" t="s">
        <v>9</v>
      </c>
      <c r="G26" s="72" t="s">
        <v>38</v>
      </c>
      <c r="H26" s="32">
        <v>89</v>
      </c>
      <c r="I26" s="32">
        <f>IF(H26="","",B26*H26)</f>
        <v>89</v>
      </c>
      <c r="J26" s="78"/>
      <c r="K26" s="80"/>
      <c r="L26" s="80"/>
      <c r="M26" s="80"/>
      <c r="N26" s="80"/>
      <c r="O26" s="80"/>
      <c r="P26" s="80"/>
      <c r="Q26" s="80"/>
      <c r="R26" s="78"/>
      <c r="S26" s="78"/>
      <c r="T26" s="78"/>
      <c r="U26" s="78"/>
      <c r="V26" s="87"/>
      <c r="W26" s="87"/>
      <c r="X26" s="87"/>
      <c r="Y26" s="87"/>
      <c r="Z26" s="87"/>
      <c r="AA26" s="87"/>
      <c r="AB26" s="87"/>
      <c r="AC26" s="87"/>
      <c r="AD26" s="87"/>
      <c r="AE26" s="87"/>
      <c r="AF26" s="78"/>
      <c r="AG26" s="78"/>
      <c r="AH26" s="78"/>
      <c r="AI26" s="78"/>
      <c r="AJ26" s="78"/>
    </row>
    <row r="27" spans="1:36" x14ac:dyDescent="0.25">
      <c r="B27" s="45">
        <v>1</v>
      </c>
      <c r="C27" s="45" t="s">
        <v>7</v>
      </c>
      <c r="D27" s="125">
        <v>9482</v>
      </c>
      <c r="E27" s="126"/>
      <c r="F27" s="56" t="s">
        <v>9</v>
      </c>
      <c r="G27" s="72" t="s">
        <v>30</v>
      </c>
      <c r="H27" s="32">
        <v>33</v>
      </c>
      <c r="I27" s="32">
        <f>IF(B27="","", B27*H27)</f>
        <v>33</v>
      </c>
    </row>
    <row r="28" spans="1:36" s="58" customFormat="1" ht="12.75" x14ac:dyDescent="0.25">
      <c r="A28" s="59"/>
      <c r="B28" s="135" t="s">
        <v>29</v>
      </c>
      <c r="C28" s="136"/>
      <c r="D28" s="136"/>
      <c r="E28" s="136"/>
      <c r="F28" s="136"/>
      <c r="G28" s="134" t="s">
        <v>33</v>
      </c>
      <c r="H28" s="134"/>
      <c r="I28" s="57">
        <f>SUM(I29:I40)</f>
        <v>1238.4799999999998</v>
      </c>
      <c r="J28" s="81"/>
      <c r="K28" s="103"/>
      <c r="L28" s="103"/>
      <c r="M28" s="103"/>
      <c r="N28" s="103"/>
      <c r="O28" s="103"/>
      <c r="P28" s="103"/>
      <c r="Q28" s="103"/>
      <c r="R28" s="81"/>
      <c r="S28" s="81"/>
      <c r="T28" s="81"/>
      <c r="U28" s="81"/>
      <c r="V28" s="90"/>
      <c r="W28" s="90"/>
      <c r="X28" s="90"/>
      <c r="Y28" s="90"/>
      <c r="Z28" s="90"/>
      <c r="AA28" s="90"/>
      <c r="AB28" s="90"/>
      <c r="AC28" s="90"/>
      <c r="AD28" s="90"/>
      <c r="AE28" s="90"/>
      <c r="AF28" s="81"/>
      <c r="AG28" s="81"/>
      <c r="AH28" s="81"/>
      <c r="AI28" s="81"/>
      <c r="AJ28" s="81"/>
    </row>
    <row r="29" spans="1:36" x14ac:dyDescent="0.25">
      <c r="B29" s="30">
        <f>D11*2</f>
        <v>52</v>
      </c>
      <c r="C29" s="30" t="s">
        <v>7</v>
      </c>
      <c r="D29" s="123">
        <v>181697</v>
      </c>
      <c r="E29" s="124"/>
      <c r="F29" s="60" t="s">
        <v>14</v>
      </c>
      <c r="G29" s="72" t="s">
        <v>62</v>
      </c>
      <c r="H29" s="31">
        <v>9.3699999999999992</v>
      </c>
      <c r="I29" s="31">
        <f t="shared" ref="I29:I40" si="0">IF(B29="","", B29*H29)</f>
        <v>487.23999999999995</v>
      </c>
      <c r="J29" s="82"/>
    </row>
    <row r="30" spans="1:36" x14ac:dyDescent="0.25">
      <c r="B30" s="30">
        <f>ROUNDUP(D11/2,0)</f>
        <v>13</v>
      </c>
      <c r="C30" s="30" t="s">
        <v>7</v>
      </c>
      <c r="D30" s="123">
        <v>181697</v>
      </c>
      <c r="E30" s="124"/>
      <c r="F30" s="60" t="s">
        <v>14</v>
      </c>
      <c r="G30" s="72" t="s">
        <v>63</v>
      </c>
      <c r="H30" s="31">
        <v>9.3699999999999992</v>
      </c>
      <c r="I30" s="31">
        <f t="shared" si="0"/>
        <v>121.80999999999999</v>
      </c>
      <c r="J30" s="82"/>
    </row>
    <row r="31" spans="1:36" x14ac:dyDescent="0.25">
      <c r="B31" s="30">
        <f>IF(B13&gt;0,ROUNDUP(D7/10+0.5,0),ROUNDUP(D7/10,0))</f>
        <v>11</v>
      </c>
      <c r="C31" s="30" t="s">
        <v>7</v>
      </c>
      <c r="D31" s="123">
        <v>181697</v>
      </c>
      <c r="E31" s="124"/>
      <c r="F31" s="60" t="s">
        <v>14</v>
      </c>
      <c r="G31" s="72" t="s">
        <v>64</v>
      </c>
      <c r="H31" s="31">
        <v>9.3699999999999992</v>
      </c>
      <c r="I31" s="31">
        <f t="shared" si="0"/>
        <v>103.07</v>
      </c>
      <c r="J31" s="82"/>
    </row>
    <row r="32" spans="1:36" x14ac:dyDescent="0.25">
      <c r="B32" s="30">
        <v>4</v>
      </c>
      <c r="C32" s="30" t="s">
        <v>7</v>
      </c>
      <c r="D32" s="123">
        <v>181697</v>
      </c>
      <c r="E32" s="124"/>
      <c r="F32" s="60" t="s">
        <v>14</v>
      </c>
      <c r="G32" s="72" t="s">
        <v>65</v>
      </c>
      <c r="H32" s="31">
        <v>9.3699999999999992</v>
      </c>
      <c r="I32" s="31">
        <f t="shared" si="0"/>
        <v>37.479999999999997</v>
      </c>
      <c r="J32" s="82"/>
    </row>
    <row r="33" spans="2:10" x14ac:dyDescent="0.25">
      <c r="B33" s="30">
        <f>D11</f>
        <v>26</v>
      </c>
      <c r="C33" s="30" t="s">
        <v>7</v>
      </c>
      <c r="D33" s="123">
        <v>623105</v>
      </c>
      <c r="E33" s="124"/>
      <c r="F33" s="60" t="s">
        <v>14</v>
      </c>
      <c r="G33" s="72" t="s">
        <v>66</v>
      </c>
      <c r="H33" s="31">
        <f>IF(B33&gt;14,12.35,16.99)</f>
        <v>12.35</v>
      </c>
      <c r="I33" s="31">
        <f t="shared" si="0"/>
        <v>321.09999999999997</v>
      </c>
      <c r="J33" s="82"/>
    </row>
    <row r="34" spans="2:10" x14ac:dyDescent="0.25">
      <c r="B34" s="30">
        <f>D11</f>
        <v>26</v>
      </c>
      <c r="C34" s="30" t="s">
        <v>7</v>
      </c>
      <c r="D34" s="123">
        <v>203114</v>
      </c>
      <c r="E34" s="124"/>
      <c r="F34" s="60" t="s">
        <v>14</v>
      </c>
      <c r="G34" s="72" t="s">
        <v>74</v>
      </c>
      <c r="H34" s="31">
        <f>IF((B34+B104)&gt;9,4.2,4.42)</f>
        <v>4.2</v>
      </c>
      <c r="I34" s="31">
        <f t="shared" si="0"/>
        <v>109.2</v>
      </c>
      <c r="J34" s="82"/>
    </row>
    <row r="35" spans="2:10" x14ac:dyDescent="0.25">
      <c r="B35" s="30">
        <f>D11*2</f>
        <v>52</v>
      </c>
      <c r="C35" s="43" t="s">
        <v>7</v>
      </c>
      <c r="D35" s="123">
        <v>23</v>
      </c>
      <c r="E35" s="124"/>
      <c r="F35" s="60" t="s">
        <v>27</v>
      </c>
      <c r="G35" s="71" t="s">
        <v>60</v>
      </c>
      <c r="H35" s="31">
        <v>0.16</v>
      </c>
      <c r="I35" s="31">
        <f t="shared" si="0"/>
        <v>8.32</v>
      </c>
      <c r="J35" s="82"/>
    </row>
    <row r="36" spans="2:10" x14ac:dyDescent="0.25">
      <c r="B36" s="30">
        <f>B35</f>
        <v>52</v>
      </c>
      <c r="C36" s="43" t="s">
        <v>7</v>
      </c>
      <c r="D36" s="123">
        <v>2649</v>
      </c>
      <c r="E36" s="124"/>
      <c r="F36" s="60" t="s">
        <v>27</v>
      </c>
      <c r="G36" s="71" t="s">
        <v>61</v>
      </c>
      <c r="H36" s="31">
        <v>0.05</v>
      </c>
      <c r="I36" s="31">
        <f t="shared" si="0"/>
        <v>2.6</v>
      </c>
      <c r="J36" s="82"/>
    </row>
    <row r="37" spans="2:10" x14ac:dyDescent="0.25">
      <c r="B37" s="30">
        <f>ROUNDUP((8*D11+16+D7/10)*1.1/100,0)</f>
        <v>3</v>
      </c>
      <c r="C37" s="43" t="s">
        <v>7</v>
      </c>
      <c r="D37" s="123">
        <v>2405</v>
      </c>
      <c r="E37" s="124"/>
      <c r="F37" s="60" t="s">
        <v>27</v>
      </c>
      <c r="G37" s="71" t="s">
        <v>34</v>
      </c>
      <c r="H37" s="31">
        <v>3.82</v>
      </c>
      <c r="I37" s="31">
        <f t="shared" si="0"/>
        <v>11.459999999999999</v>
      </c>
      <c r="J37" s="82"/>
    </row>
    <row r="38" spans="2:10" x14ac:dyDescent="0.25">
      <c r="B38" s="30">
        <f>2*D11+12</f>
        <v>64</v>
      </c>
      <c r="C38" s="43" t="s">
        <v>7</v>
      </c>
      <c r="D38" s="123" t="s">
        <v>69</v>
      </c>
      <c r="E38" s="124"/>
      <c r="F38" s="60" t="s">
        <v>70</v>
      </c>
      <c r="G38" s="71" t="s">
        <v>67</v>
      </c>
      <c r="H38" s="31">
        <v>0.35</v>
      </c>
      <c r="I38" s="31">
        <f t="shared" si="0"/>
        <v>22.4</v>
      </c>
      <c r="J38" s="82"/>
    </row>
    <row r="39" spans="2:10" x14ac:dyDescent="0.25">
      <c r="B39" s="30">
        <v>4</v>
      </c>
      <c r="C39" s="43" t="s">
        <v>7</v>
      </c>
      <c r="D39" s="123" t="s">
        <v>73</v>
      </c>
      <c r="E39" s="124"/>
      <c r="F39" s="60" t="s">
        <v>70</v>
      </c>
      <c r="G39" s="71" t="s">
        <v>68</v>
      </c>
      <c r="H39" s="31">
        <v>0.39</v>
      </c>
      <c r="I39" s="31">
        <f t="shared" si="0"/>
        <v>1.56</v>
      </c>
      <c r="J39" s="82"/>
    </row>
    <row r="40" spans="2:10" x14ac:dyDescent="0.25">
      <c r="B40" s="30">
        <f>B38+B39</f>
        <v>68</v>
      </c>
      <c r="C40" s="43" t="s">
        <v>7</v>
      </c>
      <c r="D40" s="123" t="s">
        <v>71</v>
      </c>
      <c r="E40" s="124"/>
      <c r="F40" s="60" t="s">
        <v>70</v>
      </c>
      <c r="G40" s="71" t="s">
        <v>72</v>
      </c>
      <c r="H40" s="31">
        <v>0.18</v>
      </c>
      <c r="I40" s="31">
        <f t="shared" si="0"/>
        <v>12.24</v>
      </c>
      <c r="J40" s="82"/>
    </row>
    <row r="41" spans="2:10" x14ac:dyDescent="0.25">
      <c r="B41" s="135" t="s">
        <v>53</v>
      </c>
      <c r="C41" s="136"/>
      <c r="D41" s="136"/>
      <c r="E41" s="136"/>
      <c r="F41" s="136"/>
      <c r="G41" s="134" t="s">
        <v>33</v>
      </c>
      <c r="H41" s="134"/>
      <c r="I41" s="57">
        <f>SUM(I42:I45)</f>
        <v>319.28499999999997</v>
      </c>
      <c r="J41" s="82"/>
    </row>
    <row r="42" spans="2:10" x14ac:dyDescent="0.25">
      <c r="B42" s="30">
        <f>2.5*(ROUNDUP(D7/16,0))</f>
        <v>17.5</v>
      </c>
      <c r="C42" s="43" t="s">
        <v>7</v>
      </c>
      <c r="D42" s="123">
        <v>253944</v>
      </c>
      <c r="E42" s="124"/>
      <c r="F42" s="60" t="s">
        <v>14</v>
      </c>
      <c r="G42" s="61" t="s">
        <v>59</v>
      </c>
      <c r="H42" s="31">
        <v>16.27</v>
      </c>
      <c r="I42" s="31">
        <f>IF(B42="","", B42*H42)</f>
        <v>284.72499999999997</v>
      </c>
      <c r="J42" s="82"/>
    </row>
    <row r="43" spans="2:10" x14ac:dyDescent="0.25">
      <c r="B43" s="30">
        <f>2*D11+2*4*(ROUNDUP(D7/16,0))</f>
        <v>108</v>
      </c>
      <c r="C43" s="43" t="s">
        <v>7</v>
      </c>
      <c r="D43" s="123">
        <v>2777</v>
      </c>
      <c r="E43" s="124"/>
      <c r="F43" s="60" t="s">
        <v>27</v>
      </c>
      <c r="G43" s="44" t="s">
        <v>57</v>
      </c>
      <c r="H43" s="31">
        <v>0.21</v>
      </c>
      <c r="I43" s="31">
        <f>IF(B43="","", B43*H43)</f>
        <v>22.68</v>
      </c>
      <c r="J43" s="82"/>
    </row>
    <row r="44" spans="2:10" x14ac:dyDescent="0.25">
      <c r="B44" s="30">
        <f>B43</f>
        <v>108</v>
      </c>
      <c r="C44" s="43" t="s">
        <v>7</v>
      </c>
      <c r="D44" s="123">
        <v>2977</v>
      </c>
      <c r="E44" s="124"/>
      <c r="F44" s="60" t="s">
        <v>27</v>
      </c>
      <c r="G44" s="44" t="s">
        <v>55</v>
      </c>
      <c r="H44" s="31">
        <v>0.06</v>
      </c>
      <c r="I44" s="31">
        <f>IF(B44="","", B44*H44)</f>
        <v>6.4799999999999995</v>
      </c>
      <c r="J44" s="82"/>
    </row>
    <row r="45" spans="2:10" x14ac:dyDescent="0.25">
      <c r="B45" s="30">
        <f>B43</f>
        <v>108</v>
      </c>
      <c r="C45" s="43" t="s">
        <v>7</v>
      </c>
      <c r="D45" s="123">
        <v>2649</v>
      </c>
      <c r="E45" s="124"/>
      <c r="F45" s="60" t="s">
        <v>27</v>
      </c>
      <c r="G45" s="44" t="s">
        <v>56</v>
      </c>
      <c r="H45" s="31">
        <v>0.05</v>
      </c>
      <c r="I45" s="31">
        <f>IF(B45="","", B45*H45)</f>
        <v>5.4</v>
      </c>
      <c r="J45" s="82"/>
    </row>
    <row r="46" spans="2:10" x14ac:dyDescent="0.25">
      <c r="B46" s="135" t="s">
        <v>52</v>
      </c>
      <c r="C46" s="136"/>
      <c r="D46" s="136"/>
      <c r="E46" s="136"/>
      <c r="F46" s="136"/>
      <c r="G46" s="134" t="s">
        <v>33</v>
      </c>
      <c r="H46" s="134"/>
      <c r="I46" s="57">
        <f>SUM(I47:I51)</f>
        <v>370.36499999999995</v>
      </c>
      <c r="J46" s="82"/>
    </row>
    <row r="47" spans="2:10" x14ac:dyDescent="0.25">
      <c r="B47" s="30">
        <f>2.5*(ROUNDUP(D7/16,0))</f>
        <v>17.5</v>
      </c>
      <c r="C47" s="43" t="s">
        <v>7</v>
      </c>
      <c r="D47" s="123">
        <v>253944</v>
      </c>
      <c r="E47" s="124"/>
      <c r="F47" s="60" t="s">
        <v>14</v>
      </c>
      <c r="G47" s="61" t="s">
        <v>59</v>
      </c>
      <c r="H47" s="31">
        <f>H42</f>
        <v>16.27</v>
      </c>
      <c r="I47" s="31">
        <f t="shared" ref="I47:I51" si="1">IF(B47="","", B47*H47)</f>
        <v>284.72499999999997</v>
      </c>
      <c r="J47" s="82"/>
    </row>
    <row r="48" spans="2:10" x14ac:dyDescent="0.25">
      <c r="B48" s="30">
        <f>2*D11</f>
        <v>52</v>
      </c>
      <c r="C48" s="43" t="s">
        <v>7</v>
      </c>
      <c r="D48" s="123">
        <v>12529</v>
      </c>
      <c r="E48" s="124"/>
      <c r="F48" s="60" t="s">
        <v>27</v>
      </c>
      <c r="G48" s="71" t="s">
        <v>58</v>
      </c>
      <c r="H48" s="31">
        <v>1.38</v>
      </c>
      <c r="I48" s="31">
        <f t="shared" si="1"/>
        <v>71.759999999999991</v>
      </c>
      <c r="J48" s="82"/>
    </row>
    <row r="49" spans="1:36" x14ac:dyDescent="0.25">
      <c r="B49" s="30">
        <f>2*2*(ROUNDUP(D7/16,0))</f>
        <v>28</v>
      </c>
      <c r="C49" s="43" t="s">
        <v>7</v>
      </c>
      <c r="D49" s="123">
        <v>2777</v>
      </c>
      <c r="E49" s="124"/>
      <c r="F49" s="60" t="s">
        <v>27</v>
      </c>
      <c r="G49" s="44" t="s">
        <v>57</v>
      </c>
      <c r="H49" s="31">
        <v>0.21</v>
      </c>
      <c r="I49" s="31">
        <f t="shared" si="1"/>
        <v>5.88</v>
      </c>
      <c r="J49" s="82"/>
    </row>
    <row r="50" spans="1:36" x14ac:dyDescent="0.25">
      <c r="B50" s="30">
        <f>B48+B49</f>
        <v>80</v>
      </c>
      <c r="C50" s="43" t="s">
        <v>7</v>
      </c>
      <c r="D50" s="123">
        <v>2977</v>
      </c>
      <c r="E50" s="124"/>
      <c r="F50" s="60" t="s">
        <v>27</v>
      </c>
      <c r="G50" s="44" t="s">
        <v>55</v>
      </c>
      <c r="H50" s="31">
        <v>0.05</v>
      </c>
      <c r="I50" s="31">
        <f t="shared" si="1"/>
        <v>4</v>
      </c>
      <c r="J50" s="82"/>
    </row>
    <row r="51" spans="1:36" x14ac:dyDescent="0.25">
      <c r="B51" s="30">
        <f>B48+B49</f>
        <v>80</v>
      </c>
      <c r="C51" s="43" t="s">
        <v>7</v>
      </c>
      <c r="D51" s="123">
        <v>2649</v>
      </c>
      <c r="E51" s="124"/>
      <c r="F51" s="60" t="s">
        <v>27</v>
      </c>
      <c r="G51" s="44" t="s">
        <v>56</v>
      </c>
      <c r="H51" s="31">
        <v>0.05</v>
      </c>
      <c r="I51" s="31">
        <f t="shared" si="1"/>
        <v>4</v>
      </c>
      <c r="J51" s="82"/>
    </row>
    <row r="52" spans="1:36" x14ac:dyDescent="0.25">
      <c r="B52" s="135" t="s">
        <v>32</v>
      </c>
      <c r="C52" s="136"/>
      <c r="D52" s="136"/>
      <c r="E52" s="136"/>
      <c r="F52" s="136"/>
      <c r="G52" s="131" t="s">
        <v>33</v>
      </c>
      <c r="H52" s="131"/>
      <c r="I52" s="57">
        <f>SUM(I53:I58)</f>
        <v>1447.3400000000001</v>
      </c>
      <c r="J52" s="82"/>
    </row>
    <row r="53" spans="1:36" x14ac:dyDescent="0.25">
      <c r="B53" s="45">
        <f>IF(G53="Online sources","",1)</f>
        <v>1</v>
      </c>
      <c r="C53" s="45" t="str">
        <f>IF(B53="","","each")</f>
        <v>each</v>
      </c>
      <c r="D53" s="125" t="str">
        <f>IF(OR(D7="",D8= ""),"", IF(D7&lt;80,"7301", IF(D7&lt;105,"7302", IF(D7&lt;130,"7303", ""))))</f>
        <v>7302</v>
      </c>
      <c r="E53" s="126"/>
      <c r="F53" s="56" t="str">
        <f>IF(OR(D7="",D8=""),"",IF(OR(D53="7301",D53="7302",D53="7303"),"Johnny's Selected Seeds",""))</f>
        <v>Johnny's Selected Seeds</v>
      </c>
      <c r="G53" s="51" t="str">
        <f>IF(OR(D7="",D8=""),"",IF(D53="7301","Tufflite IV Greenhouse Film, 32 x 100 ft.",IF(D53="7302","Tufflite IV Greenhouse Film, 32 x 125 ft.",IF(D53="7303","Tufflite IV Greenhouse Film, 32 x 150 ft.","Online sources"))))</f>
        <v>Tufflite IV Greenhouse Film, 32 x 125 ft.</v>
      </c>
      <c r="H53" s="32">
        <f>IF(OR(D7="",D8=""),"",IF(D53="7301",392,IF(D53="7302",498,IF(D53="7303",573,""))))</f>
        <v>498</v>
      </c>
      <c r="I53" s="32">
        <f>IF(H53="","",B53*H53)</f>
        <v>498</v>
      </c>
      <c r="J53" s="82"/>
    </row>
    <row r="54" spans="1:36" x14ac:dyDescent="0.25">
      <c r="B54" s="45">
        <f>ROUNDUP(T79/4,0)</f>
        <v>104</v>
      </c>
      <c r="C54" s="45" t="s">
        <v>7</v>
      </c>
      <c r="D54" s="125">
        <v>7040</v>
      </c>
      <c r="E54" s="126"/>
      <c r="F54" s="46" t="s">
        <v>9</v>
      </c>
      <c r="G54" s="48" t="s">
        <v>75</v>
      </c>
      <c r="H54" s="32">
        <v>1.95</v>
      </c>
      <c r="I54" s="32">
        <f>IF(H54="","",B54*H54)</f>
        <v>202.79999999999998</v>
      </c>
      <c r="J54" s="82"/>
    </row>
    <row r="55" spans="1:36" x14ac:dyDescent="0.25">
      <c r="B55" s="55">
        <f>ROUNDUP(S79/8,0)</f>
        <v>46</v>
      </c>
      <c r="C55" s="45" t="s">
        <v>7</v>
      </c>
      <c r="D55" s="125">
        <v>7041</v>
      </c>
      <c r="E55" s="126"/>
      <c r="F55" s="46" t="s">
        <v>9</v>
      </c>
      <c r="G55" s="48" t="s">
        <v>76</v>
      </c>
      <c r="H55" s="32">
        <v>10.15</v>
      </c>
      <c r="I55" s="32">
        <f>IF(H55="","",B55*H55)</f>
        <v>466.90000000000003</v>
      </c>
      <c r="J55" s="82"/>
    </row>
    <row r="56" spans="1:36" x14ac:dyDescent="0.25">
      <c r="B56" s="73">
        <f>IF(OR(A13=1,A13=2),ROUNDUP((B55*8+B72*10+B106*10)*1.1/100,0), IF(AND(OR(A13=3,A13=4), B15=""),ROUNDUP((B55*8+B106*10)*1.1/100,0), IF(OR(A13=5,A13=6),ROUNDUP((B55*8+B72*10)*1.1/100,0),IF(OR(A13=7),ROUNDUP((B55*8)*1.1/100,0),IF(AND(OR(A13=3,A13=4), B15="x"),ROUNDUP((B55*8)*1.1/100,0),"")))))</f>
        <v>6</v>
      </c>
      <c r="C56" s="74" t="s">
        <v>7</v>
      </c>
      <c r="D56" s="137">
        <v>2525</v>
      </c>
      <c r="E56" s="138"/>
      <c r="F56" s="75" t="s">
        <v>27</v>
      </c>
      <c r="G56" s="71" t="s">
        <v>41</v>
      </c>
      <c r="H56" s="76">
        <v>3.44</v>
      </c>
      <c r="I56" s="76">
        <f>IF(B56="","", B56*H56)</f>
        <v>20.64</v>
      </c>
      <c r="J56" s="82"/>
    </row>
    <row r="57" spans="1:36" x14ac:dyDescent="0.25">
      <c r="B57" s="55">
        <f>IF(D57="9724",ROUNDUP((D7+32)/250,0),"")</f>
        <v>1</v>
      </c>
      <c r="C57" s="45" t="s">
        <v>7</v>
      </c>
      <c r="D57" s="130" t="str">
        <f>IF(AND(B20="x",B21=""),"9724","")</f>
        <v>9724</v>
      </c>
      <c r="E57" s="130"/>
      <c r="F57" s="53" t="str">
        <f>IF(AND(B20="x",B21=""),"Johnny's Selected Seeds","")</f>
        <v>Johnny's Selected Seeds</v>
      </c>
      <c r="G57" s="48" t="str">
        <f>IF(D57="9724","Pro 5 Weed Barrier Landscape Fabric, 4 ft x 250 ft.","")</f>
        <v>Pro 5 Weed Barrier Landscape Fabric, 4 ft x 250 ft.</v>
      </c>
      <c r="H57" s="32">
        <f>IF(D57="9724",193,"")</f>
        <v>193</v>
      </c>
      <c r="I57" s="32">
        <f>IF(H57="","",B57*H57)</f>
        <v>193</v>
      </c>
      <c r="J57" s="82"/>
    </row>
    <row r="58" spans="1:36" s="94" customFormat="1" x14ac:dyDescent="0.25">
      <c r="A58" s="93"/>
      <c r="B58" s="45">
        <f>IF(D58="9723",ROUNDUP(((D7+32))/500,0),"")</f>
        <v>1</v>
      </c>
      <c r="C58" s="45" t="s">
        <v>7</v>
      </c>
      <c r="D58" s="142" t="str">
        <f>IF(AND(B20="x",B21=""),"9723","")</f>
        <v>9723</v>
      </c>
      <c r="E58" s="142"/>
      <c r="F58" s="53" t="str">
        <f>IF(AND(B20="x",B21=""),"Johnny's Selected Seeds","")</f>
        <v>Johnny's Selected Seeds</v>
      </c>
      <c r="G58" s="47" t="str">
        <f>IF(D58="9723","Anchoring Pins Fabric Staples, box of 500","")</f>
        <v>Anchoring Pins Fabric Staples, box of 500</v>
      </c>
      <c r="H58" s="32">
        <f>IF(D58="9723",66,"")</f>
        <v>66</v>
      </c>
      <c r="I58" s="32">
        <f>IF(H58="","",B58*H58)</f>
        <v>66</v>
      </c>
      <c r="J58" s="77"/>
      <c r="K58" s="98"/>
      <c r="L58" s="77"/>
      <c r="M58" s="98"/>
      <c r="N58" s="98"/>
      <c r="O58" s="98"/>
      <c r="P58" s="98"/>
      <c r="Q58" s="98"/>
      <c r="R58" s="77"/>
      <c r="S58" s="77"/>
      <c r="T58" s="77"/>
      <c r="U58" s="77"/>
      <c r="V58" s="85"/>
      <c r="W58" s="85"/>
      <c r="X58" s="85"/>
      <c r="Y58" s="85"/>
      <c r="Z58" s="85"/>
      <c r="AA58" s="85"/>
      <c r="AB58" s="85"/>
      <c r="AC58" s="85"/>
      <c r="AD58" s="85"/>
      <c r="AE58" s="85"/>
      <c r="AF58" s="77"/>
      <c r="AG58" s="77"/>
      <c r="AH58" s="77"/>
      <c r="AI58" s="77"/>
      <c r="AJ58" s="77"/>
    </row>
    <row r="59" spans="1:36" x14ac:dyDescent="0.25">
      <c r="B59" s="135" t="s">
        <v>51</v>
      </c>
      <c r="C59" s="136"/>
      <c r="D59" s="136"/>
      <c r="E59" s="136"/>
      <c r="F59" s="136"/>
      <c r="G59" s="131" t="s">
        <v>33</v>
      </c>
      <c r="H59" s="131"/>
      <c r="I59" s="57">
        <f>SUM(I60:I72)</f>
        <v>41.56</v>
      </c>
      <c r="J59" s="82"/>
      <c r="M59" s="104"/>
      <c r="N59" s="104"/>
      <c r="O59" s="104"/>
      <c r="P59" s="104"/>
      <c r="Q59" s="104"/>
      <c r="R59" s="105"/>
      <c r="S59" s="105"/>
      <c r="T59" s="105"/>
    </row>
    <row r="60" spans="1:36" x14ac:dyDescent="0.25">
      <c r="B60" s="45">
        <f>IF(OR(B13=1, B13=2),B13,"")</f>
        <v>1</v>
      </c>
      <c r="C60" s="45" t="str">
        <f>IF(OR(B13=1, B13=2),"each","")</f>
        <v>each</v>
      </c>
      <c r="D60" s="125">
        <f>IF(OR(B13=1, B13=2),161799,"")</f>
        <v>161799</v>
      </c>
      <c r="E60" s="126"/>
      <c r="F60" s="53" t="str">
        <f>IF(OR(B13=1, B13=2),"Home Depot","")</f>
        <v>Home Depot</v>
      </c>
      <c r="G60" s="47" t="str">
        <f>IF(OR(B13=1, B13=2),"2 in. x 6 in. x 16 ft. spruce, pine, or fir lumber","")</f>
        <v>2 in. x 6 in. x 16 ft. spruce, pine, or fir lumber</v>
      </c>
      <c r="H60" s="32">
        <f>IF(OR(B13=1, B13=2),10.17,"")</f>
        <v>10.17</v>
      </c>
      <c r="I60" s="32">
        <f t="shared" ref="I60:I72" si="2">IF(H60="","",B60*H60)</f>
        <v>10.17</v>
      </c>
      <c r="J60" s="82"/>
      <c r="M60" s="104"/>
      <c r="N60" s="104"/>
      <c r="O60" s="104"/>
      <c r="P60" s="104"/>
      <c r="Q60" s="104"/>
      <c r="R60" s="105"/>
      <c r="S60" s="105"/>
      <c r="T60" s="105"/>
    </row>
    <row r="61" spans="1:36" x14ac:dyDescent="0.25">
      <c r="B61" s="45">
        <f>IF(OR(B13=1, B13=2),3*B13,"")</f>
        <v>3</v>
      </c>
      <c r="C61" s="45" t="str">
        <f>IF(OR(B13=1, B13=2),"each","")</f>
        <v>each</v>
      </c>
      <c r="D61" s="125">
        <f>IF(OR(B13=1, B13=2),859,"")</f>
        <v>859</v>
      </c>
      <c r="E61" s="126"/>
      <c r="F61" s="53" t="str">
        <f>IF(OR(B13=1, B13=2),"www.boltdepot.com","")</f>
        <v>www.boltdepot.com</v>
      </c>
      <c r="G61" s="47" t="str">
        <f>IF(OR(B13=1, B13=2),"3/8 in. x 5 in. hex bolts (fully threaded)","")</f>
        <v>3/8 in. x 5 in. hex bolts (fully threaded)</v>
      </c>
      <c r="H61" s="32">
        <f>IF(OR(B13=1, B13=2),0.51,"")</f>
        <v>0.51</v>
      </c>
      <c r="I61" s="32">
        <f t="shared" si="2"/>
        <v>1.53</v>
      </c>
      <c r="J61" s="82"/>
      <c r="M61" s="104"/>
      <c r="N61" s="104"/>
      <c r="O61" s="104"/>
      <c r="P61" s="104"/>
      <c r="Q61" s="104"/>
      <c r="R61" s="105"/>
      <c r="S61" s="105"/>
      <c r="T61" s="105"/>
    </row>
    <row r="62" spans="1:36" x14ac:dyDescent="0.25">
      <c r="B62" s="45">
        <f>IF(OR(B13=1, B13=2),4*B13,"")</f>
        <v>4</v>
      </c>
      <c r="C62" s="45" t="str">
        <f>IF(OR(B13=1, B13=2),"each","")</f>
        <v>each</v>
      </c>
      <c r="D62" s="125">
        <f>IF(OR(B13=1, B13=2),2662,"")</f>
        <v>2662</v>
      </c>
      <c r="E62" s="126"/>
      <c r="F62" s="53" t="str">
        <f>IF(OR(B13=1, B13=2),"www.boltdepot.com","")</f>
        <v>www.boltdepot.com</v>
      </c>
      <c r="G62" s="47" t="str">
        <f>IF(OR(B13=1, B13=2),"3/8 in. hex jam nuts","")</f>
        <v>3/8 in. hex jam nuts</v>
      </c>
      <c r="H62" s="32">
        <f>IF(OR(B13=1, B13=2),0.06,"")</f>
        <v>0.06</v>
      </c>
      <c r="I62" s="32">
        <f t="shared" si="2"/>
        <v>0.24</v>
      </c>
      <c r="J62" s="82"/>
      <c r="M62" s="104"/>
      <c r="N62" s="104"/>
      <c r="O62" s="104"/>
      <c r="P62" s="104"/>
      <c r="Q62" s="104"/>
      <c r="R62" s="105"/>
      <c r="S62" s="105"/>
      <c r="T62" s="105"/>
    </row>
    <row r="63" spans="1:36" x14ac:dyDescent="0.25">
      <c r="B63" s="45">
        <f>IF(OR(B13=1, B13=2),2*B13,"")</f>
        <v>2</v>
      </c>
      <c r="C63" s="45" t="str">
        <f>IF(OR(B13=1, B13=2),"each","")</f>
        <v>each</v>
      </c>
      <c r="D63" s="125">
        <f>IF(OR(B13=1, B13=2),3026,"")</f>
        <v>3026</v>
      </c>
      <c r="E63" s="126"/>
      <c r="F63" s="53" t="str">
        <f>IF(OR(B13=1, B13=2),"www.boltdepot.com","")</f>
        <v>www.boltdepot.com</v>
      </c>
      <c r="G63" s="47" t="str">
        <f>IF(OR(B13=1, B13=2),"3/8 in. lock washer","")</f>
        <v>3/8 in. lock washer</v>
      </c>
      <c r="H63" s="32">
        <f>IF(OR(B13=1, B13=2),0.07,"")</f>
        <v>7.0000000000000007E-2</v>
      </c>
      <c r="I63" s="32">
        <f t="shared" si="2"/>
        <v>0.14000000000000001</v>
      </c>
      <c r="J63" s="82"/>
      <c r="M63" s="104"/>
      <c r="N63" s="104"/>
      <c r="O63" s="104"/>
      <c r="P63" s="104"/>
      <c r="Q63" s="104"/>
      <c r="R63" s="105"/>
      <c r="S63" s="105"/>
      <c r="T63" s="105"/>
    </row>
    <row r="64" spans="1:36" x14ac:dyDescent="0.25">
      <c r="B64" s="45">
        <f>IF(OR(B13=1, B13=2),4*B13,"")</f>
        <v>4</v>
      </c>
      <c r="C64" s="45" t="str">
        <f>IF(OR(B13=1, B13=2),"each","")</f>
        <v>each</v>
      </c>
      <c r="D64" s="125">
        <f>IF(OR(B13=1, B13=2),2691,"")</f>
        <v>2691</v>
      </c>
      <c r="E64" s="126"/>
      <c r="F64" s="53" t="str">
        <f>IF(OR(B13=1, B13=2),"www.boltdepot.com","")</f>
        <v>www.boltdepot.com</v>
      </c>
      <c r="G64" s="47" t="str">
        <f>IF(OR(B13=1, B13=2),"3/8 in. wing nuts","")</f>
        <v>3/8 in. wing nuts</v>
      </c>
      <c r="H64" s="32">
        <f>IF(OR(B13=1, B13=2),0.19,"")</f>
        <v>0.19</v>
      </c>
      <c r="I64" s="32">
        <f t="shared" si="2"/>
        <v>0.76</v>
      </c>
      <c r="J64" s="82"/>
      <c r="M64" s="104"/>
      <c r="N64" s="104"/>
      <c r="O64" s="104"/>
      <c r="P64" s="104"/>
      <c r="Q64" s="104"/>
      <c r="R64" s="105"/>
      <c r="S64" s="105"/>
      <c r="T64" s="105"/>
    </row>
    <row r="65" spans="1:36" x14ac:dyDescent="0.25">
      <c r="B65" s="45">
        <f>IF(OR(B13=1, B13=2),4*B13,"")</f>
        <v>4</v>
      </c>
      <c r="C65" s="45" t="str">
        <f>IF(OR(B13=1, B13=2),"each","")</f>
        <v>each</v>
      </c>
      <c r="D65" s="125">
        <f>IF(OR(B13=1, B13=2),2978,"")</f>
        <v>2978</v>
      </c>
      <c r="E65" s="126"/>
      <c r="F65" s="53" t="str">
        <f>IF(OR(B13=1, B13=2),"www.boltdepot.com","")</f>
        <v>www.boltdepot.com</v>
      </c>
      <c r="G65" s="47" t="str">
        <f>IF(OR(B13=1, B13=2),"3/8 in. flat washers","")</f>
        <v>3/8 in. flat washers</v>
      </c>
      <c r="H65" s="32">
        <f>IF(OR(B13=1, B13=2),0.07,"")</f>
        <v>7.0000000000000007E-2</v>
      </c>
      <c r="I65" s="32">
        <f t="shared" si="2"/>
        <v>0.28000000000000003</v>
      </c>
      <c r="J65" s="82"/>
      <c r="M65" s="104"/>
      <c r="N65" s="104"/>
      <c r="O65" s="104"/>
      <c r="P65" s="104"/>
      <c r="Q65" s="104"/>
      <c r="R65" s="105"/>
      <c r="S65" s="105"/>
      <c r="T65" s="105"/>
    </row>
    <row r="66" spans="1:36" x14ac:dyDescent="0.25">
      <c r="B66" s="45">
        <f>IF(OR(B13=1, B13=2),2*B13,"")</f>
        <v>2</v>
      </c>
      <c r="C66" s="45" t="str">
        <f>IF(OR(B13=1, B13=2),"each","")</f>
        <v>each</v>
      </c>
      <c r="D66" s="127">
        <f>IF(OR(B13=1, B13=2),181697,"")</f>
        <v>181697</v>
      </c>
      <c r="E66" s="128"/>
      <c r="F66" s="53" t="str">
        <f>IF(OR(B13=1, B13=2),"Home Depot","")</f>
        <v>Home Depot</v>
      </c>
      <c r="G66" s="47" t="str">
        <f>IF(OR(B13=1, B13=2), "10 ft length of 1-3/8 in. fence top rail for scissor doors","")</f>
        <v>10 ft length of 1-3/8 in. fence top rail for scissor doors</v>
      </c>
      <c r="H66" s="32">
        <f>IF(OR(B13=1, B13=2),9.37,"")</f>
        <v>9.3699999999999992</v>
      </c>
      <c r="I66" s="32">
        <f t="shared" si="2"/>
        <v>18.739999999999998</v>
      </c>
      <c r="J66" s="82"/>
      <c r="M66" s="104"/>
      <c r="N66" s="104"/>
      <c r="O66" s="104"/>
      <c r="P66" s="104"/>
      <c r="Q66" s="104"/>
      <c r="R66" s="105"/>
      <c r="S66" s="105"/>
      <c r="T66" s="105"/>
    </row>
    <row r="67" spans="1:36" x14ac:dyDescent="0.25">
      <c r="B67" s="45">
        <f>IF(OR(B13=1, B13=2),2*B13,"")</f>
        <v>2</v>
      </c>
      <c r="C67" s="55" t="str">
        <f>IF(OR(B13=1, B13=2),"each","")</f>
        <v>each</v>
      </c>
      <c r="D67" s="127" t="str">
        <f>IF(OR(B13=1, B13=2),"BB13","")</f>
        <v>BB13</v>
      </c>
      <c r="E67" s="128"/>
      <c r="F67" s="53" t="str">
        <f>IF(OR(B13=1, B13=2),"www.chainlinkfittings.com","")</f>
        <v>www.chainlinkfittings.com</v>
      </c>
      <c r="G67" s="48" t="str">
        <f>IF(OR(B13=1, B13=2),"1-3/8 in. brace bands","")</f>
        <v>1-3/8 in. brace bands</v>
      </c>
      <c r="H67" s="54">
        <f>IF(OR(B13=1, B13=2),0.35,"")</f>
        <v>0.35</v>
      </c>
      <c r="I67" s="32">
        <f t="shared" si="2"/>
        <v>0.7</v>
      </c>
      <c r="J67" s="82"/>
      <c r="M67" s="104"/>
      <c r="N67" s="104"/>
      <c r="O67" s="104"/>
      <c r="P67" s="104"/>
      <c r="Q67" s="104"/>
      <c r="R67" s="105"/>
      <c r="S67" s="105"/>
      <c r="T67" s="105"/>
    </row>
    <row r="68" spans="1:36" x14ac:dyDescent="0.25">
      <c r="B68" s="45">
        <f>IF(OR(B13=1, B13=2),2*B13,"")</f>
        <v>2</v>
      </c>
      <c r="C68" s="55" t="str">
        <f>IF(OR(B13=1, B13=2),"each","")</f>
        <v>each</v>
      </c>
      <c r="D68" s="127">
        <f>IF(OR(B13=1, B13=2),2753,"")</f>
        <v>2753</v>
      </c>
      <c r="E68" s="128"/>
      <c r="F68" s="53" t="str">
        <f>IF(OR(B13=1, B13=2),"www.boltdepot.com","")</f>
        <v>www.boltdepot.com</v>
      </c>
      <c r="G68" s="48" t="str">
        <f>IF(OR(B13=1, B13=2), "5/16 in. x 1.75 in. carriage bolts","")</f>
        <v>5/16 in. x 1.75 in. carriage bolts</v>
      </c>
      <c r="H68" s="54">
        <f>IF(OR(B13=1, B13=2),0.1,"")</f>
        <v>0.1</v>
      </c>
      <c r="I68" s="32">
        <f t="shared" si="2"/>
        <v>0.2</v>
      </c>
      <c r="J68" s="82"/>
      <c r="M68" s="104"/>
      <c r="N68" s="104"/>
      <c r="O68" s="104"/>
      <c r="P68" s="104"/>
      <c r="Q68" s="104"/>
      <c r="R68" s="105"/>
      <c r="S68" s="105"/>
      <c r="T68" s="105"/>
    </row>
    <row r="69" spans="1:36" x14ac:dyDescent="0.25">
      <c r="B69" s="45">
        <f>IF(OR(B13=1, B13=2),2*B13,"")</f>
        <v>2</v>
      </c>
      <c r="C69" s="55" t="str">
        <f>IF(OR(B13=1, B13=2),"each","")</f>
        <v>each</v>
      </c>
      <c r="D69" s="127">
        <f>IF(OR(B13=1, B13=2),2648,"")</f>
        <v>2648</v>
      </c>
      <c r="E69" s="128"/>
      <c r="F69" s="53" t="str">
        <f>IF(OR(B13=1, B13=2),"www.boltdepot.com","")</f>
        <v>www.boltdepot.com</v>
      </c>
      <c r="G69" s="48" t="str">
        <f>IF(OR(B13=1, B13=2), "5/16 in. hex nuts","")</f>
        <v>5/16 in. hex nuts</v>
      </c>
      <c r="H69" s="54">
        <f>IF(OR(B13=1, B13=2),0.05,"")</f>
        <v>0.05</v>
      </c>
      <c r="I69" s="32">
        <f t="shared" si="2"/>
        <v>0.1</v>
      </c>
      <c r="J69" s="82"/>
      <c r="M69" s="104"/>
      <c r="N69" s="104"/>
      <c r="O69" s="104"/>
      <c r="P69" s="104"/>
      <c r="Q69" s="104"/>
      <c r="R69" s="105"/>
      <c r="S69" s="105"/>
      <c r="T69" s="105"/>
    </row>
    <row r="70" spans="1:36" s="49" customFormat="1" x14ac:dyDescent="0.25">
      <c r="A70" s="50"/>
      <c r="B70" s="45">
        <f>IF(OR(B13=1, B13=2),2*B13,"")</f>
        <v>2</v>
      </c>
      <c r="C70" s="55" t="str">
        <f>IF(OR(B13=1, B13=2),"each","")</f>
        <v>each</v>
      </c>
      <c r="D70" s="127">
        <f>IF(OR(B13=1, B13=2),2977,"")</f>
        <v>2977</v>
      </c>
      <c r="E70" s="128"/>
      <c r="F70" s="53" t="str">
        <f>IF(OR(B13=1, B13=2),"www.boltdepot.com","")</f>
        <v>www.boltdepot.com</v>
      </c>
      <c r="G70" s="48" t="str">
        <f>IF(OR(B13=1, B13=2), "5/16 in. flat washers","")</f>
        <v>5/16 in. flat washers</v>
      </c>
      <c r="H70" s="54">
        <f>IF(OR(B13=1, B13=2),0.06,"")</f>
        <v>0.06</v>
      </c>
      <c r="I70" s="32">
        <f t="shared" si="2"/>
        <v>0.12</v>
      </c>
      <c r="J70" s="82"/>
      <c r="K70" s="106"/>
      <c r="L70" s="106"/>
      <c r="M70" s="107"/>
      <c r="N70" s="108"/>
      <c r="O70" s="129" t="s">
        <v>79</v>
      </c>
      <c r="P70" s="129"/>
      <c r="Q70" s="129"/>
      <c r="R70" s="129"/>
      <c r="S70" s="82"/>
      <c r="T70" s="109"/>
      <c r="U70" s="82"/>
      <c r="V70" s="91"/>
      <c r="W70" s="91"/>
      <c r="X70" s="91"/>
      <c r="Y70" s="91"/>
      <c r="Z70" s="91"/>
      <c r="AA70" s="91"/>
      <c r="AB70" s="91"/>
      <c r="AC70" s="91"/>
      <c r="AD70" s="91"/>
      <c r="AE70" s="91"/>
      <c r="AF70" s="82"/>
      <c r="AG70" s="82"/>
      <c r="AH70" s="82"/>
      <c r="AI70" s="82"/>
      <c r="AJ70" s="82"/>
    </row>
    <row r="71" spans="1:36" x14ac:dyDescent="0.25">
      <c r="B71" s="45">
        <f>IF(OR(B13=1, B13=2),B13,"")</f>
        <v>1</v>
      </c>
      <c r="C71" s="45" t="str">
        <f>IF(OR(B13=1, B13=2),"each","")</f>
        <v>each</v>
      </c>
      <c r="D71" s="125">
        <f>IF(OR(B13=1, B13=2),654167,"")</f>
        <v>654167</v>
      </c>
      <c r="E71" s="126"/>
      <c r="F71" s="53" t="str">
        <f>IF(OR(B13=1, B13=2),"Home Depot","")</f>
        <v>Home Depot</v>
      </c>
      <c r="G71" s="47" t="str">
        <f>IF(OR(B13=1, B13=2),"3/8 in. x 6 in. Carriage Bolt (fully threaded)","")</f>
        <v>3/8 in. x 6 in. Carriage Bolt (fully threaded)</v>
      </c>
      <c r="H71" s="32">
        <f>IF(OR(B13=1, B13=2),1.1,"")</f>
        <v>1.1000000000000001</v>
      </c>
      <c r="I71" s="32">
        <f t="shared" si="2"/>
        <v>1.1000000000000001</v>
      </c>
      <c r="J71" s="82"/>
      <c r="M71" s="104"/>
      <c r="N71" s="104"/>
      <c r="O71" s="104"/>
      <c r="P71" s="104"/>
      <c r="Q71" s="104"/>
      <c r="R71" s="105"/>
      <c r="S71" s="122" t="s">
        <v>81</v>
      </c>
      <c r="T71" s="122"/>
    </row>
    <row r="72" spans="1:36" ht="15.75" x14ac:dyDescent="0.25">
      <c r="B72" s="45">
        <f>IF(OR(B13=1, B13=2),B13,"")</f>
        <v>1</v>
      </c>
      <c r="C72" s="45" t="str">
        <f>IF(OR(B13=1, B13=2),"each","")</f>
        <v>each</v>
      </c>
      <c r="D72" s="125">
        <f>IF(OR(B13=1, B13=2),7035,"")</f>
        <v>7035</v>
      </c>
      <c r="E72" s="126"/>
      <c r="F72" s="53" t="str">
        <f>IF(OR(B13=1, B13=2),"Johnny's Selected Seeds","")</f>
        <v>Johnny's Selected Seeds</v>
      </c>
      <c r="G72" s="47" t="str">
        <f>IF(OR(B13=1, B13=2),"Snap Clamps for 1-3/8 in. Top-Rail, 10 pack","")</f>
        <v>Snap Clamps for 1-3/8 in. Top-Rail, 10 pack</v>
      </c>
      <c r="H72" s="32">
        <f>IF(OR(B13=1, B13=2),7.48,"")</f>
        <v>7.48</v>
      </c>
      <c r="I72" s="32">
        <f t="shared" si="2"/>
        <v>7.48</v>
      </c>
      <c r="J72" s="82"/>
      <c r="K72" s="110" t="s">
        <v>82</v>
      </c>
      <c r="M72" s="104"/>
      <c r="N72" s="104" t="s">
        <v>47</v>
      </c>
      <c r="O72" s="101">
        <v>2</v>
      </c>
      <c r="P72" s="101">
        <v>1</v>
      </c>
      <c r="Q72" s="101"/>
      <c r="R72" s="101"/>
      <c r="S72" s="111" t="s">
        <v>77</v>
      </c>
      <c r="T72" s="104" t="s">
        <v>78</v>
      </c>
    </row>
    <row r="73" spans="1:36" s="49" customFormat="1" x14ac:dyDescent="0.25">
      <c r="A73" s="50"/>
      <c r="B73" s="135" t="s">
        <v>50</v>
      </c>
      <c r="C73" s="136"/>
      <c r="D73" s="136"/>
      <c r="E73" s="136"/>
      <c r="F73" s="136"/>
      <c r="G73" s="131" t="s">
        <v>33</v>
      </c>
      <c r="H73" s="131"/>
      <c r="I73" s="57">
        <f>SUM(I74:I101)</f>
        <v>254.82</v>
      </c>
      <c r="J73" s="82"/>
      <c r="K73" s="110" t="s">
        <v>83</v>
      </c>
      <c r="L73" s="82"/>
      <c r="M73" s="82"/>
      <c r="N73" s="104" t="s">
        <v>80</v>
      </c>
      <c r="O73" s="95"/>
      <c r="P73" s="95">
        <v>1</v>
      </c>
      <c r="Q73" s="95">
        <v>2</v>
      </c>
      <c r="R73" s="95"/>
      <c r="S73" s="112"/>
      <c r="T73" s="112"/>
      <c r="U73" s="82"/>
      <c r="V73" s="91"/>
      <c r="W73" s="91"/>
      <c r="X73" s="91"/>
      <c r="Y73" s="91"/>
      <c r="Z73" s="91"/>
      <c r="AA73" s="91"/>
      <c r="AB73" s="91"/>
      <c r="AC73" s="91"/>
      <c r="AD73" s="91"/>
      <c r="AE73" s="91"/>
      <c r="AF73" s="82"/>
      <c r="AG73" s="82"/>
      <c r="AH73" s="82"/>
      <c r="AI73" s="82"/>
      <c r="AJ73" s="82"/>
    </row>
    <row r="74" spans="1:36" s="49" customFormat="1" x14ac:dyDescent="0.25">
      <c r="A74" s="86"/>
      <c r="B74" s="45">
        <f>IF(OR(B14=1, B14=2),B14,"")</f>
        <v>1</v>
      </c>
      <c r="C74" s="45" t="str">
        <f>IF(OR(B14=1, B14=2),"each","")</f>
        <v>each</v>
      </c>
      <c r="D74" s="125">
        <f>IF(OR(B14=1, B14=2),253942,"")</f>
        <v>253942</v>
      </c>
      <c r="E74" s="126"/>
      <c r="F74" s="53" t="str">
        <f>IF(OR(B14=1, B14=2),"Home Depot","")</f>
        <v>Home Depot</v>
      </c>
      <c r="G74" s="47" t="str">
        <f>IF(OR(B14=1, B14=2),"2 in. x 6 in. x 16 ft. spruce, pine, or fir lumber","")</f>
        <v>2 in. x 6 in. x 16 ft. spruce, pine, or fir lumber</v>
      </c>
      <c r="H74" s="32">
        <f>IF(OR(B14=1, B14=2),13.67,"")</f>
        <v>13.67</v>
      </c>
      <c r="I74" s="32">
        <f>IF(H74="","",B74*H74)</f>
        <v>13.67</v>
      </c>
      <c r="J74" s="82"/>
      <c r="K74" s="106"/>
      <c r="L74" s="77"/>
      <c r="M74" s="105"/>
      <c r="N74" s="113" t="s">
        <v>43</v>
      </c>
      <c r="O74" s="104" t="s">
        <v>39</v>
      </c>
      <c r="P74" s="104" t="s">
        <v>39</v>
      </c>
      <c r="Q74" s="104" t="s">
        <v>39</v>
      </c>
      <c r="R74" s="104" t="s">
        <v>39</v>
      </c>
      <c r="S74" s="104">
        <f>D7*2+D8*4+16</f>
        <v>232</v>
      </c>
      <c r="T74" s="108">
        <f>S74</f>
        <v>232</v>
      </c>
      <c r="U74" s="82"/>
      <c r="V74" s="91"/>
      <c r="W74" s="91"/>
      <c r="X74" s="91"/>
      <c r="Y74" s="91"/>
      <c r="Z74" s="91"/>
      <c r="AA74" s="91"/>
      <c r="AB74" s="91"/>
      <c r="AC74" s="91"/>
      <c r="AD74" s="91"/>
      <c r="AE74" s="91"/>
      <c r="AF74" s="82"/>
      <c r="AG74" s="82"/>
      <c r="AH74" s="82"/>
      <c r="AI74" s="82"/>
      <c r="AJ74" s="82"/>
    </row>
    <row r="75" spans="1:36" s="49" customFormat="1" x14ac:dyDescent="0.25">
      <c r="A75" s="96"/>
      <c r="B75" s="30">
        <f>IF(OR(B14=1, B14=2),2*B14,"")</f>
        <v>2</v>
      </c>
      <c r="C75" s="43" t="str">
        <f>IF(OR(B14=1, B14=2),"each","")</f>
        <v>each</v>
      </c>
      <c r="D75" s="123">
        <f>IF(OR(B14=1, B14=2),2779,"")</f>
        <v>2779</v>
      </c>
      <c r="E75" s="124"/>
      <c r="F75" s="60" t="str">
        <f>IF(OR(B14=1, B14=2),"www.boltdepot.com","")</f>
        <v>www.boltdepot.com</v>
      </c>
      <c r="G75" s="44" t="str">
        <f>IF(OR(B14=1, B14=2),"5/16 in. x 3.5 in. carriage bolts","")</f>
        <v>5/16 in. x 3.5 in. carriage bolts</v>
      </c>
      <c r="H75" s="31">
        <f>IF(OR(B14=1, B14=2),0.23,"")</f>
        <v>0.23</v>
      </c>
      <c r="I75" s="31">
        <f>IF(B75="","", B75*H75)</f>
        <v>0.46</v>
      </c>
      <c r="J75" s="82"/>
      <c r="K75" s="106"/>
      <c r="L75" s="77"/>
      <c r="M75" s="105"/>
      <c r="N75" s="113" t="s">
        <v>44</v>
      </c>
      <c r="O75" s="104" t="s">
        <v>39</v>
      </c>
      <c r="P75" s="104" t="s">
        <v>39</v>
      </c>
      <c r="Q75" s="104" t="s">
        <v>39</v>
      </c>
      <c r="R75" s="104" t="s">
        <v>39</v>
      </c>
      <c r="S75" s="104">
        <f>(25+2*2-2*0.5-4*0.5)*2</f>
        <v>52</v>
      </c>
      <c r="T75" s="108">
        <f>2*S75</f>
        <v>104</v>
      </c>
      <c r="U75" s="82"/>
      <c r="V75" s="91"/>
      <c r="W75" s="91"/>
      <c r="X75" s="91"/>
      <c r="Y75" s="91"/>
      <c r="Z75" s="91"/>
      <c r="AA75" s="91"/>
      <c r="AB75" s="91"/>
      <c r="AC75" s="91"/>
      <c r="AD75" s="91"/>
      <c r="AE75" s="91"/>
      <c r="AF75" s="82"/>
      <c r="AG75" s="82"/>
      <c r="AH75" s="82"/>
      <c r="AI75" s="82"/>
      <c r="AJ75" s="82"/>
    </row>
    <row r="76" spans="1:36" s="52" customFormat="1" x14ac:dyDescent="0.25">
      <c r="A76" s="96"/>
      <c r="B76" s="30">
        <f>IF(OR(B14=1, B14=2),2*B14,"")</f>
        <v>2</v>
      </c>
      <c r="C76" s="43" t="str">
        <f>IF(OR(B14=1, B14=2),"each","")</f>
        <v>each</v>
      </c>
      <c r="D76" s="123">
        <f>IF(OR(B14=1, B14=2),2780,"")</f>
        <v>2780</v>
      </c>
      <c r="E76" s="124"/>
      <c r="F76" s="60" t="str">
        <f>IF(OR(B14=1, B14=2),"www.boltdepot.com","")</f>
        <v>www.boltdepot.com</v>
      </c>
      <c r="G76" s="44" t="str">
        <f>IF(OR(B14=1, B14=2),"5/16 in. x 4 in. carriage bolts","")</f>
        <v>5/16 in. x 4 in. carriage bolts</v>
      </c>
      <c r="H76" s="31">
        <f>IF(OR(B14=1, B14=2),0.25,"")</f>
        <v>0.25</v>
      </c>
      <c r="I76" s="31">
        <f>IF(B76="","", B76*H76)</f>
        <v>0.5</v>
      </c>
      <c r="J76" s="82"/>
      <c r="K76" s="114"/>
      <c r="L76" s="77"/>
      <c r="M76" s="105"/>
      <c r="N76" s="113" t="s">
        <v>45</v>
      </c>
      <c r="O76" s="104" t="s">
        <v>39</v>
      </c>
      <c r="P76" s="104" t="s">
        <v>39</v>
      </c>
      <c r="Q76" s="104"/>
      <c r="R76" s="104"/>
      <c r="S76" s="104">
        <f>B13*14</f>
        <v>14</v>
      </c>
      <c r="T76" s="108">
        <f>S76</f>
        <v>14</v>
      </c>
      <c r="U76" s="83"/>
      <c r="V76" s="92"/>
      <c r="W76" s="92"/>
      <c r="X76" s="92"/>
      <c r="Y76" s="92"/>
      <c r="Z76" s="92"/>
      <c r="AA76" s="92"/>
      <c r="AB76" s="92"/>
      <c r="AC76" s="92"/>
      <c r="AD76" s="92"/>
      <c r="AE76" s="92"/>
      <c r="AF76" s="83"/>
      <c r="AG76" s="83"/>
      <c r="AH76" s="83"/>
      <c r="AI76" s="83"/>
      <c r="AJ76" s="83"/>
    </row>
    <row r="77" spans="1:36" s="52" customFormat="1" x14ac:dyDescent="0.25">
      <c r="A77" s="96"/>
      <c r="B77" s="30">
        <f>IF(OR(B14=1, B14=2),4*B14,"")</f>
        <v>4</v>
      </c>
      <c r="C77" s="43" t="str">
        <f>IF(OR(B14=1, B14=2),"each","")</f>
        <v>each</v>
      </c>
      <c r="D77" s="123">
        <f>IF(OR(B14=1, B14=2),2784,"")</f>
        <v>2784</v>
      </c>
      <c r="E77" s="124"/>
      <c r="F77" s="60" t="str">
        <f>IF(OR(B14=1, B14=2),"www.boltdepot.com","")</f>
        <v>www.boltdepot.com</v>
      </c>
      <c r="G77" s="44" t="str">
        <f>IF(OR(B14=1, B14=2),"5/16 in. x 6 in. carriage bolt","")</f>
        <v>5/16 in. x 6 in. carriage bolt</v>
      </c>
      <c r="H77" s="31">
        <f>IF(OR(B14=1, B14=2),0.39,"")</f>
        <v>0.39</v>
      </c>
      <c r="I77" s="31">
        <f>IF(B77="","", B77*H77)</f>
        <v>1.56</v>
      </c>
      <c r="J77" s="82"/>
      <c r="K77" s="114"/>
      <c r="L77" s="77"/>
      <c r="M77" s="105"/>
      <c r="N77" s="113" t="s">
        <v>46</v>
      </c>
      <c r="O77" s="104"/>
      <c r="P77" s="104" t="s">
        <v>39</v>
      </c>
      <c r="Q77" s="104" t="s">
        <v>39</v>
      </c>
      <c r="R77" s="104"/>
      <c r="S77" s="115">
        <f>(14+((85*2+82*4+24.5*4))/12)*B14</f>
        <v>63.666666666666664</v>
      </c>
      <c r="T77" s="116">
        <f>S77</f>
        <v>63.666666666666664</v>
      </c>
      <c r="U77" s="83"/>
      <c r="V77" s="92"/>
      <c r="W77" s="92"/>
      <c r="X77" s="92"/>
      <c r="Y77" s="92"/>
      <c r="Z77" s="92"/>
      <c r="AA77" s="92"/>
      <c r="AB77" s="92"/>
      <c r="AC77" s="92"/>
      <c r="AD77" s="92"/>
      <c r="AE77" s="92"/>
      <c r="AF77" s="83"/>
      <c r="AG77" s="83"/>
      <c r="AH77" s="83"/>
      <c r="AI77" s="83"/>
      <c r="AJ77" s="83"/>
    </row>
    <row r="78" spans="1:36" s="52" customFormat="1" x14ac:dyDescent="0.25">
      <c r="A78" s="96"/>
      <c r="B78" s="30">
        <f>IF(OR(B14=1, B14=2),B75+B76+B77,"")</f>
        <v>8</v>
      </c>
      <c r="C78" s="43" t="str">
        <f>IF(OR(B14=1, B14=2),"each","")</f>
        <v>each</v>
      </c>
      <c r="D78" s="123">
        <f>IF(OR(B14=1, B14=2),2649,"")</f>
        <v>2649</v>
      </c>
      <c r="E78" s="124"/>
      <c r="F78" s="60" t="str">
        <f>IF(OR(B14=1, B14=2),"www.boltdepot.com","")</f>
        <v>www.boltdepot.com</v>
      </c>
      <c r="G78" s="44" t="str">
        <f>IF(OR(B14=1, B14=2),"5/16 hex nuts","")</f>
        <v>5/16 hex nuts</v>
      </c>
      <c r="H78" s="31">
        <f>IF(OR(B14=1, B14=2),0.05,"")</f>
        <v>0.05</v>
      </c>
      <c r="I78" s="31">
        <f>IF(B78="","", B78*H78)</f>
        <v>0.4</v>
      </c>
      <c r="J78" s="82"/>
      <c r="K78" s="114"/>
      <c r="L78" s="114"/>
      <c r="M78" s="117"/>
      <c r="N78" s="117"/>
      <c r="O78" s="117"/>
      <c r="P78" s="117"/>
      <c r="Q78" s="117"/>
      <c r="R78" s="118"/>
      <c r="S78" s="118"/>
      <c r="T78" s="118"/>
      <c r="U78" s="83"/>
      <c r="V78" s="92"/>
      <c r="W78" s="92"/>
      <c r="X78" s="92"/>
      <c r="Y78" s="92"/>
      <c r="Z78" s="92"/>
      <c r="AA78" s="92"/>
      <c r="AB78" s="92"/>
      <c r="AC78" s="92"/>
      <c r="AD78" s="92"/>
      <c r="AE78" s="92"/>
      <c r="AF78" s="83"/>
      <c r="AG78" s="83"/>
      <c r="AH78" s="83"/>
      <c r="AI78" s="83"/>
      <c r="AJ78" s="83"/>
    </row>
    <row r="79" spans="1:36" s="52" customFormat="1" x14ac:dyDescent="0.25">
      <c r="A79" s="96"/>
      <c r="B79" s="30">
        <f>IF(OR(B14=1, B14=2),B75+B76+B77,"")</f>
        <v>8</v>
      </c>
      <c r="C79" s="43" t="str">
        <f>IF(OR(B14=1, B14=2),"each","")</f>
        <v>each</v>
      </c>
      <c r="D79" s="123">
        <f>IF(OR(B14=1, B14=2),2977,"")</f>
        <v>2977</v>
      </c>
      <c r="E79" s="124"/>
      <c r="F79" s="60" t="str">
        <f>IF(OR(B14=1, B14=2),"www.boltdepot.com","")</f>
        <v>www.boltdepot.com</v>
      </c>
      <c r="G79" s="44" t="str">
        <f>IF(OR(B14=1, B14=2),"5/16 in. flat washers","")</f>
        <v>5/16 in. flat washers</v>
      </c>
      <c r="H79" s="31">
        <f>IF(OR(B14=1, B14=2),0.06,"")</f>
        <v>0.06</v>
      </c>
      <c r="I79" s="31">
        <f>IF(B79="","", B79*H79)</f>
        <v>0.48</v>
      </c>
      <c r="J79" s="82"/>
      <c r="K79" s="114"/>
      <c r="L79" s="114"/>
      <c r="M79" s="117"/>
      <c r="N79" s="117"/>
      <c r="O79" s="117"/>
      <c r="P79" s="117"/>
      <c r="Q79" s="117"/>
      <c r="R79" s="119" t="s">
        <v>84</v>
      </c>
      <c r="S79" s="120">
        <f>S74+S75+B13*S76+B14*S77</f>
        <v>361.66666666666669</v>
      </c>
      <c r="T79" s="120">
        <f>T74+T75+B13*T76+B14*T77</f>
        <v>413.66666666666669</v>
      </c>
      <c r="U79" s="83"/>
      <c r="V79" s="92"/>
      <c r="W79" s="92"/>
      <c r="X79" s="92"/>
      <c r="Y79" s="92"/>
      <c r="Z79" s="92"/>
      <c r="AA79" s="92"/>
      <c r="AB79" s="92"/>
      <c r="AC79" s="92"/>
      <c r="AD79" s="92"/>
      <c r="AE79" s="92"/>
      <c r="AF79" s="83"/>
      <c r="AG79" s="83"/>
      <c r="AH79" s="83"/>
      <c r="AI79" s="83"/>
      <c r="AJ79" s="83"/>
    </row>
    <row r="80" spans="1:36" s="52" customFormat="1" x14ac:dyDescent="0.25">
      <c r="A80" s="96"/>
      <c r="B80" s="45">
        <f>IF(OR(B14=1, B14=2),2*B14,"")</f>
        <v>2</v>
      </c>
      <c r="C80" s="43" t="str">
        <f>IF(OR(B14=1, B14=2),"each","")</f>
        <v>each</v>
      </c>
      <c r="D80" s="132">
        <f>IF(OR(B14=1, B14=2),161659,"")</f>
        <v>161659</v>
      </c>
      <c r="E80" s="133"/>
      <c r="F80" s="53" t="str">
        <f>IF(OR(B14=1, B14=2),"Home Depot","")</f>
        <v>Home Depot</v>
      </c>
      <c r="G80" s="47" t="str">
        <f>IF(OR(B14=1, B14=2),"2 in. x 4 in. x 10 ft. spruce, pine, or fir lumber","")</f>
        <v>2 in. x 4 in. x 10 ft. spruce, pine, or fir lumber</v>
      </c>
      <c r="H80" s="32">
        <f>IF(OR(B14=1, B14=2),5.05,"")</f>
        <v>5.05</v>
      </c>
      <c r="I80" s="32">
        <f t="shared" ref="I80:I93" si="3">IF(H80="","",B80*H80)</f>
        <v>10.1</v>
      </c>
      <c r="J80" s="82"/>
      <c r="K80" s="114"/>
      <c r="L80" s="114"/>
      <c r="M80" s="117"/>
      <c r="N80" s="117"/>
      <c r="O80" s="117"/>
      <c r="P80" s="117"/>
      <c r="Q80" s="117"/>
      <c r="R80" s="118"/>
      <c r="S80" s="118"/>
      <c r="T80" s="118"/>
      <c r="U80" s="83"/>
      <c r="V80" s="92"/>
      <c r="W80" s="92"/>
      <c r="X80" s="92"/>
      <c r="Y80" s="92"/>
      <c r="Z80" s="92"/>
      <c r="AA80" s="92"/>
      <c r="AB80" s="92"/>
      <c r="AC80" s="92"/>
      <c r="AD80" s="92"/>
      <c r="AE80" s="92"/>
      <c r="AF80" s="83"/>
      <c r="AG80" s="83"/>
      <c r="AH80" s="83"/>
      <c r="AI80" s="83"/>
      <c r="AJ80" s="83"/>
    </row>
    <row r="81" spans="1:36" s="52" customFormat="1" x14ac:dyDescent="0.25">
      <c r="A81" s="96"/>
      <c r="B81" s="45">
        <f>IF(OR(B14=1, B14=2),11*B14,"")</f>
        <v>11</v>
      </c>
      <c r="C81" s="43" t="str">
        <f>IF(OR(B14=1, B14=2),"each","")</f>
        <v>each</v>
      </c>
      <c r="D81" s="130">
        <f>IF(OR(B14=1, B14=2),161640,"")</f>
        <v>161640</v>
      </c>
      <c r="E81" s="130"/>
      <c r="F81" s="53" t="str">
        <f>IF(OR(B14=1, B14=2),"Home Depot","")</f>
        <v>Home Depot</v>
      </c>
      <c r="G81" s="47" t="str">
        <f>IF(OR(B14=1, B14=2),"2 in. x 4 in. x 8 ft. spruce, pine, or fir lumber","")</f>
        <v>2 in. x 4 in. x 8 ft. spruce, pine, or fir lumber</v>
      </c>
      <c r="H81" s="32">
        <f>IF(OR(B14=1, B14=2),3.55,"")</f>
        <v>3.55</v>
      </c>
      <c r="I81" s="32">
        <f t="shared" si="3"/>
        <v>39.049999999999997</v>
      </c>
      <c r="J81" s="82"/>
      <c r="K81" s="114"/>
      <c r="L81" s="114"/>
      <c r="M81" s="114"/>
      <c r="N81" s="114"/>
      <c r="O81" s="114"/>
      <c r="P81" s="114"/>
      <c r="Q81" s="114"/>
      <c r="R81" s="83"/>
      <c r="S81" s="83"/>
      <c r="T81" s="83"/>
      <c r="U81" s="83"/>
      <c r="V81" s="92"/>
      <c r="W81" s="92"/>
      <c r="X81" s="92"/>
      <c r="Y81" s="92"/>
      <c r="Z81" s="92"/>
      <c r="AA81" s="92"/>
      <c r="AB81" s="92"/>
      <c r="AC81" s="92"/>
      <c r="AD81" s="92"/>
      <c r="AE81" s="92"/>
      <c r="AF81" s="83"/>
      <c r="AG81" s="83"/>
      <c r="AH81" s="83"/>
      <c r="AI81" s="83"/>
      <c r="AJ81" s="83"/>
    </row>
    <row r="82" spans="1:36" s="52" customFormat="1" x14ac:dyDescent="0.25">
      <c r="A82" s="96"/>
      <c r="B82" s="45">
        <f>IF(OR(B14=1, B14=2),B14,"")</f>
        <v>1</v>
      </c>
      <c r="C82" s="43" t="str">
        <f>IF(OR(B14=1, B14=2),"each","")</f>
        <v>each</v>
      </c>
      <c r="D82" s="130">
        <f>IF(OR(B14=1, B14=2),914681,"")</f>
        <v>914681</v>
      </c>
      <c r="E82" s="130"/>
      <c r="F82" s="53" t="str">
        <f>IF(OR(B14=1, B14=2),"Home Depot","")</f>
        <v>Home Depot</v>
      </c>
      <c r="G82" s="47" t="str">
        <f>IF(OR(B14=1, B14=2),"1 in. x 4 in. x 8 ft. spruce, pine, or fir lumber","")</f>
        <v>1 in. x 4 in. x 8 ft. spruce, pine, or fir lumber</v>
      </c>
      <c r="H82" s="32">
        <f>IF(OR(B14=1, B14=2),4.58,"")</f>
        <v>4.58</v>
      </c>
      <c r="I82" s="32">
        <f>IF(H82="","",B82*H82)</f>
        <v>4.58</v>
      </c>
      <c r="J82" s="82"/>
      <c r="K82" s="114"/>
      <c r="L82" s="114"/>
      <c r="M82" s="114"/>
      <c r="N82" s="114"/>
      <c r="O82" s="114"/>
      <c r="P82" s="114"/>
      <c r="Q82" s="114"/>
      <c r="R82" s="83"/>
      <c r="S82" s="83"/>
      <c r="T82" s="83"/>
      <c r="U82" s="83"/>
      <c r="V82" s="92"/>
      <c r="W82" s="92"/>
      <c r="X82" s="92"/>
      <c r="Y82" s="92"/>
      <c r="Z82" s="92"/>
      <c r="AA82" s="92"/>
      <c r="AB82" s="92"/>
      <c r="AC82" s="92"/>
      <c r="AD82" s="92"/>
      <c r="AE82" s="92"/>
      <c r="AF82" s="83"/>
      <c r="AG82" s="83"/>
      <c r="AH82" s="83"/>
      <c r="AI82" s="83"/>
      <c r="AJ82" s="83"/>
    </row>
    <row r="83" spans="1:36" s="58" customFormat="1" x14ac:dyDescent="0.25">
      <c r="A83" s="97"/>
      <c r="B83" s="45">
        <f>IF(OR(B14=1, B14=2),1,"")</f>
        <v>1</v>
      </c>
      <c r="C83" s="43" t="str">
        <f>IF(OR(B14=1, B14=2),"each","")</f>
        <v>each</v>
      </c>
      <c r="D83" s="130">
        <f>IF(OR(B14=1, B14=2),479652,"")</f>
        <v>479652</v>
      </c>
      <c r="E83" s="130"/>
      <c r="F83" s="53" t="str">
        <f>IF(OR(B14=1, B14=2),"Home Depot","")</f>
        <v>Home Depot</v>
      </c>
      <c r="G83" s="47" t="str">
        <f>IF(OR(B14=1, B14=2),"1.25 in. drywall screws, 1 lb. box","")</f>
        <v>1.25 in. drywall screws, 1 lb. box</v>
      </c>
      <c r="H83" s="32">
        <f>IF(OR(B14=1, B14=2),6.47,"")</f>
        <v>6.47</v>
      </c>
      <c r="I83" s="32">
        <f t="shared" si="3"/>
        <v>6.47</v>
      </c>
      <c r="J83" s="82"/>
      <c r="K83" s="103"/>
      <c r="L83" s="114"/>
      <c r="M83" s="114"/>
      <c r="N83" s="114"/>
      <c r="O83" s="114"/>
      <c r="P83" s="114"/>
      <c r="Q83" s="114"/>
      <c r="R83" s="83"/>
      <c r="S83" s="83"/>
      <c r="T83" s="83"/>
      <c r="U83" s="81"/>
      <c r="V83" s="90"/>
      <c r="W83" s="90"/>
      <c r="X83" s="90"/>
      <c r="Y83" s="90"/>
      <c r="Z83" s="90"/>
      <c r="AA83" s="90"/>
      <c r="AB83" s="90"/>
      <c r="AC83" s="90"/>
      <c r="AD83" s="90"/>
      <c r="AE83" s="90"/>
      <c r="AF83" s="81"/>
      <c r="AG83" s="81"/>
      <c r="AH83" s="81"/>
      <c r="AI83" s="81"/>
      <c r="AJ83" s="81"/>
    </row>
    <row r="84" spans="1:36" s="49" customFormat="1" x14ac:dyDescent="0.25">
      <c r="A84" s="96"/>
      <c r="B84" s="45">
        <f>IF(OR(B14=1, B14=2),3*B14,"")</f>
        <v>3</v>
      </c>
      <c r="C84" s="43" t="str">
        <f>IF(OR(B14=1, B14=2),"each","")</f>
        <v>each</v>
      </c>
      <c r="D84" s="130">
        <f>IF(OR(B14=1, B14=2),333431,"")</f>
        <v>333431</v>
      </c>
      <c r="E84" s="130"/>
      <c r="F84" s="53" t="str">
        <f>IF(OR(B14=1, B14=2),"Home Depot","")</f>
        <v>Home Depot</v>
      </c>
      <c r="G84" s="47" t="str">
        <f>IF(OR(B14=1, B14=2),"20-Gauge 1-1/4 in. x 9 in. Strap Ties","")</f>
        <v>20-Gauge 1-1/4 in. x 9 in. Strap Ties</v>
      </c>
      <c r="H84" s="32">
        <f>IF(OR(B14=1, B14=2),0.84,"")</f>
        <v>0.84</v>
      </c>
      <c r="I84" s="32">
        <f t="shared" si="3"/>
        <v>2.52</v>
      </c>
      <c r="J84" s="81"/>
      <c r="K84" s="106"/>
      <c r="L84" s="103"/>
      <c r="M84" s="103"/>
      <c r="N84" s="103"/>
      <c r="O84" s="103"/>
      <c r="P84" s="103"/>
      <c r="Q84" s="103"/>
      <c r="R84" s="81"/>
      <c r="S84" s="81"/>
      <c r="T84" s="81"/>
      <c r="U84" s="82"/>
      <c r="V84" s="91"/>
      <c r="W84" s="91"/>
      <c r="X84" s="91"/>
      <c r="Y84" s="91"/>
      <c r="Z84" s="91"/>
      <c r="AA84" s="91"/>
      <c r="AB84" s="91"/>
      <c r="AC84" s="91"/>
      <c r="AD84" s="91"/>
      <c r="AE84" s="91"/>
      <c r="AF84" s="82"/>
      <c r="AG84" s="82"/>
      <c r="AH84" s="82"/>
      <c r="AI84" s="82"/>
      <c r="AJ84" s="82"/>
    </row>
    <row r="85" spans="1:36" s="49" customFormat="1" x14ac:dyDescent="0.25">
      <c r="A85" s="96"/>
      <c r="B85" s="45">
        <f>IF(OR(B14=1, B14=2),1,"")</f>
        <v>1</v>
      </c>
      <c r="C85" s="43" t="str">
        <f>IF(OR(B14=1, B14=2),"each","")</f>
        <v>each</v>
      </c>
      <c r="D85" s="130">
        <f>IF(OR(B14=1, B14=2),134380,"")</f>
        <v>134380</v>
      </c>
      <c r="E85" s="130"/>
      <c r="F85" s="53" t="str">
        <f>IF(OR(B14=1, B14=2),"Home Depot","")</f>
        <v>Home Depot</v>
      </c>
      <c r="G85" s="47" t="str">
        <f>IF(OR(B14=1, B14=2),"#10 x 3 in. Phillips Bugle-Head Wood Screws, 1 lb. box","")</f>
        <v>#10 x 3 in. Phillips Bugle-Head Wood Screws, 1 lb. box</v>
      </c>
      <c r="H85" s="32">
        <f>IF(OR(B14=1, B14=2),7.98,"")</f>
        <v>7.98</v>
      </c>
      <c r="I85" s="32">
        <f t="shared" si="3"/>
        <v>7.98</v>
      </c>
      <c r="J85" s="82"/>
      <c r="K85" s="106"/>
      <c r="L85" s="106"/>
      <c r="M85" s="106"/>
      <c r="N85" s="121"/>
      <c r="O85" s="121"/>
      <c r="P85" s="121"/>
      <c r="Q85" s="121"/>
      <c r="R85" s="82"/>
      <c r="S85" s="82"/>
      <c r="T85" s="82"/>
      <c r="U85" s="82"/>
      <c r="V85" s="91"/>
      <c r="W85" s="91"/>
      <c r="X85" s="91"/>
      <c r="Y85" s="91"/>
      <c r="Z85" s="91"/>
      <c r="AA85" s="91"/>
      <c r="AB85" s="91"/>
      <c r="AC85" s="91"/>
      <c r="AD85" s="91"/>
      <c r="AE85" s="91"/>
      <c r="AF85" s="82"/>
      <c r="AG85" s="82"/>
      <c r="AH85" s="82"/>
      <c r="AI85" s="82"/>
      <c r="AJ85" s="82"/>
    </row>
    <row r="86" spans="1:36" s="49" customFormat="1" x14ac:dyDescent="0.25">
      <c r="A86" s="96"/>
      <c r="B86" s="45">
        <f>IF(OR(B14=1, B14=2),ROUNDUP(B14*16/10,0),"")</f>
        <v>2</v>
      </c>
      <c r="C86" s="43" t="str">
        <f>IF(OR(B14=1, B14=2),"each","")</f>
        <v>each</v>
      </c>
      <c r="D86" s="130">
        <f>IF(OR(B14=1, B14=2),301878333,"")</f>
        <v>301878333</v>
      </c>
      <c r="E86" s="130"/>
      <c r="F86" s="53" t="str">
        <f>IF(OR(B14=1, B14=2),"Home Depot","")</f>
        <v>Home Depot</v>
      </c>
      <c r="G86" s="47" t="str">
        <f>IF(OR(B14=1, B14=2),"5/16 in. x 6 in. Heavy Duty Wood Screws, pkg of 10","")</f>
        <v>5/16 in. x 6 in. Heavy Duty Wood Screws, pkg of 10</v>
      </c>
      <c r="H86" s="32">
        <f>IF(OR(B14=1, B14=2),10.99,"")</f>
        <v>10.99</v>
      </c>
      <c r="I86" s="32">
        <f>IF(H86="","",B86*H86)</f>
        <v>21.98</v>
      </c>
      <c r="J86" s="82"/>
      <c r="K86" s="106"/>
      <c r="L86" s="106"/>
      <c r="M86" s="106"/>
      <c r="N86" s="121"/>
      <c r="O86" s="121"/>
      <c r="P86" s="121"/>
      <c r="Q86" s="121"/>
      <c r="R86" s="82"/>
      <c r="S86" s="82"/>
      <c r="T86" s="82"/>
      <c r="U86" s="82"/>
      <c r="V86" s="91"/>
      <c r="W86" s="91"/>
      <c r="X86" s="91"/>
      <c r="Y86" s="91"/>
      <c r="Z86" s="91"/>
      <c r="AA86" s="91"/>
      <c r="AB86" s="91"/>
      <c r="AC86" s="91"/>
      <c r="AD86" s="91"/>
      <c r="AE86" s="91"/>
      <c r="AF86" s="82"/>
      <c r="AG86" s="82"/>
      <c r="AH86" s="82"/>
      <c r="AI86" s="82"/>
      <c r="AJ86" s="82"/>
    </row>
    <row r="87" spans="1:36" s="49" customFormat="1" x14ac:dyDescent="0.25">
      <c r="A87" s="96"/>
      <c r="B87" s="45">
        <f>IF(OR(B14=1, B14=2),2*B14,"")</f>
        <v>2</v>
      </c>
      <c r="C87" s="43" t="str">
        <f>IF(OR(B14=1, B14=2),"each","")</f>
        <v>each</v>
      </c>
      <c r="D87" s="130">
        <f>IF(OR(B14=1, B14=2),335216,"")</f>
        <v>335216</v>
      </c>
      <c r="E87" s="130"/>
      <c r="F87" s="53" t="str">
        <f>IF(OR(B14=1, B14=2),"Home Depot","")</f>
        <v>Home Depot</v>
      </c>
      <c r="G87" s="47" t="str">
        <f>IF(OR(B14=1, B14=2),"18-Gauge 3-1/4 in. Gusset Angle Corner Braces","")</f>
        <v>18-Gauge 3-1/4 in. Gusset Angle Corner Braces</v>
      </c>
      <c r="H87" s="32">
        <f>IF(OR(B14=1, B14=2),0.98,"")</f>
        <v>0.98</v>
      </c>
      <c r="I87" s="32">
        <f t="shared" si="3"/>
        <v>1.96</v>
      </c>
      <c r="J87" s="82"/>
      <c r="K87" s="106"/>
      <c r="L87" s="106"/>
      <c r="M87" s="106"/>
      <c r="N87" s="121"/>
      <c r="O87" s="121"/>
      <c r="P87" s="121"/>
      <c r="Q87" s="121"/>
      <c r="R87" s="82"/>
      <c r="S87" s="82"/>
      <c r="T87" s="82"/>
      <c r="U87" s="82"/>
      <c r="V87" s="91"/>
      <c r="W87" s="91"/>
      <c r="X87" s="91"/>
      <c r="Y87" s="91"/>
      <c r="Z87" s="91"/>
      <c r="AA87" s="91"/>
      <c r="AB87" s="91"/>
      <c r="AC87" s="91"/>
      <c r="AD87" s="91"/>
      <c r="AE87" s="91"/>
      <c r="AF87" s="82"/>
      <c r="AG87" s="82"/>
      <c r="AH87" s="82"/>
      <c r="AI87" s="82"/>
      <c r="AJ87" s="82"/>
    </row>
    <row r="88" spans="1:36" s="49" customFormat="1" x14ac:dyDescent="0.25">
      <c r="A88" s="96"/>
      <c r="B88" s="45">
        <f>IF(OR(B14=1, B14=2),B14,"")</f>
        <v>1</v>
      </c>
      <c r="C88" s="43" t="str">
        <f>IF(OR(B14=1, B14=2),"each","")</f>
        <v>each</v>
      </c>
      <c r="D88" s="130">
        <f>IF(OR(B14=1, B14=2),320858,"")</f>
        <v>320858</v>
      </c>
      <c r="E88" s="130"/>
      <c r="F88" s="53" t="str">
        <f>IF(OR(B14=1, B14=2),"Home Depot","")</f>
        <v>Home Depot</v>
      </c>
      <c r="G88" s="47" t="str">
        <f>IF(OR(B14=1, B14=2),"6 ft length of 1-5/8 in. line post for baseboard posts","")</f>
        <v>6 ft length of 1-5/8 in. line post for baseboard posts</v>
      </c>
      <c r="H88" s="32">
        <f>IF(OR(B14=1, B14=2),10.98,"")</f>
        <v>10.98</v>
      </c>
      <c r="I88" s="32">
        <f>IF(H88="","",B88*H88)</f>
        <v>10.98</v>
      </c>
      <c r="J88" s="82"/>
      <c r="K88" s="106"/>
      <c r="L88" s="106"/>
      <c r="M88" s="106"/>
      <c r="N88" s="121"/>
      <c r="O88" s="121"/>
      <c r="P88" s="121"/>
      <c r="Q88" s="121"/>
      <c r="R88" s="82"/>
      <c r="S88" s="82"/>
      <c r="T88" s="82"/>
      <c r="U88" s="82"/>
      <c r="V88" s="91"/>
      <c r="W88" s="91"/>
      <c r="X88" s="91"/>
      <c r="Y88" s="91"/>
      <c r="Z88" s="91"/>
      <c r="AA88" s="91"/>
      <c r="AB88" s="91"/>
      <c r="AC88" s="91"/>
      <c r="AD88" s="91"/>
      <c r="AE88" s="91"/>
      <c r="AF88" s="82"/>
      <c r="AG88" s="82"/>
      <c r="AH88" s="82"/>
      <c r="AI88" s="82"/>
      <c r="AJ88" s="82"/>
    </row>
    <row r="89" spans="1:36" s="49" customFormat="1" x14ac:dyDescent="0.25">
      <c r="A89" s="96"/>
      <c r="B89" s="45">
        <f>IF(OR(B14=1, B14=2),4*B14,"")</f>
        <v>4</v>
      </c>
      <c r="C89" s="43" t="str">
        <f>IF(OR(B14=1, B14=2),"each","")</f>
        <v>each</v>
      </c>
      <c r="D89" s="130">
        <f>IF(OR(B14=1, B14=2),208229,"")</f>
        <v>208229</v>
      </c>
      <c r="E89" s="130"/>
      <c r="F89" s="53" t="str">
        <f>IF(OR(B14=1, B14=2),"Home Depot","")</f>
        <v>Home Depot</v>
      </c>
      <c r="G89" s="47" t="str">
        <f>IF(OR(B14=1, B14=2),"2 in. x 4 in. 20-Gauge Framing Brackets","")</f>
        <v>2 in. x 4 in. 20-Gauge Framing Brackets</v>
      </c>
      <c r="H89" s="32">
        <f>IF(OR(B14=1, B14=2),0.6,"")</f>
        <v>0.6</v>
      </c>
      <c r="I89" s="32">
        <f t="shared" si="3"/>
        <v>2.4</v>
      </c>
      <c r="J89" s="82"/>
      <c r="K89" s="106"/>
      <c r="L89" s="106"/>
      <c r="M89" s="106"/>
      <c r="N89" s="121"/>
      <c r="O89" s="121"/>
      <c r="P89" s="121"/>
      <c r="Q89" s="121"/>
      <c r="R89" s="82"/>
      <c r="S89" s="82"/>
      <c r="T89" s="82"/>
      <c r="U89" s="82"/>
      <c r="V89" s="91"/>
      <c r="W89" s="91"/>
      <c r="X89" s="91"/>
      <c r="Y89" s="91"/>
      <c r="Z89" s="91"/>
      <c r="AA89" s="91"/>
      <c r="AB89" s="91"/>
      <c r="AC89" s="91"/>
      <c r="AD89" s="91"/>
      <c r="AE89" s="91"/>
      <c r="AF89" s="82"/>
      <c r="AG89" s="82"/>
      <c r="AH89" s="82"/>
      <c r="AI89" s="82"/>
      <c r="AJ89" s="82"/>
    </row>
    <row r="90" spans="1:36" s="49" customFormat="1" x14ac:dyDescent="0.25">
      <c r="A90" s="96"/>
      <c r="B90" s="45">
        <f>IF(OR(B14=1, B14=2),8*B14,"")</f>
        <v>8</v>
      </c>
      <c r="C90" s="43" t="str">
        <f>IF(OR(B14=1, B14=2),"each","")</f>
        <v>each</v>
      </c>
      <c r="D90" s="130">
        <f>IF(OR(B14=1, B14=2),461393,"")</f>
        <v>461393</v>
      </c>
      <c r="E90" s="130"/>
      <c r="F90" s="53" t="str">
        <f>IF(OR(B14=1, B14=2),"Home Depot","")</f>
        <v>Home Depot</v>
      </c>
      <c r="G90" s="47" t="str">
        <f>IF(OR(B14=1, B14=2),"6 in. x 6 in. 14-Gauge L Straps","")</f>
        <v>6 in. x 6 in. 14-Gauge L Straps</v>
      </c>
      <c r="H90" s="32">
        <f>IF(OR(B14=1, B14=2),3.97,"")</f>
        <v>3.97</v>
      </c>
      <c r="I90" s="32">
        <f t="shared" si="3"/>
        <v>31.76</v>
      </c>
      <c r="J90" s="82"/>
      <c r="K90" s="106"/>
      <c r="L90" s="106"/>
      <c r="M90" s="106"/>
      <c r="N90" s="121"/>
      <c r="O90" s="121"/>
      <c r="P90" s="121"/>
      <c r="Q90" s="121"/>
      <c r="R90" s="82"/>
      <c r="S90" s="82"/>
      <c r="T90" s="82"/>
      <c r="U90" s="82"/>
      <c r="V90" s="91"/>
      <c r="W90" s="91"/>
      <c r="X90" s="91"/>
      <c r="Y90" s="91"/>
      <c r="Z90" s="91"/>
      <c r="AA90" s="91"/>
      <c r="AB90" s="91"/>
      <c r="AC90" s="91"/>
      <c r="AD90" s="91"/>
      <c r="AE90" s="91"/>
      <c r="AF90" s="82"/>
      <c r="AG90" s="82"/>
      <c r="AH90" s="82"/>
      <c r="AI90" s="82"/>
      <c r="AJ90" s="82"/>
    </row>
    <row r="91" spans="1:36" s="49" customFormat="1" x14ac:dyDescent="0.25">
      <c r="A91" s="96"/>
      <c r="B91" s="45">
        <f>IF(OR(B14=1, B14=2),4*B14,"")</f>
        <v>4</v>
      </c>
      <c r="C91" s="43" t="str">
        <f>IF(OR(B14=1, B14=2),"each","")</f>
        <v>each</v>
      </c>
      <c r="D91" s="130">
        <f>IF(OR(B14=1, B14=2),711786,"")</f>
        <v>711786</v>
      </c>
      <c r="E91" s="130"/>
      <c r="F91" s="53" t="str">
        <f>IF(OR(B14=1, B14=2),"Home Depot","")</f>
        <v>Home Depot</v>
      </c>
      <c r="G91" s="47" t="str">
        <f>IF(OR(B14=1, B14=2),"4 in. Door Hinges","")</f>
        <v>4 in. Door Hinges</v>
      </c>
      <c r="H91" s="32">
        <f>IF(OR(B14=1, B14=2),2.98,"")</f>
        <v>2.98</v>
      </c>
      <c r="I91" s="32">
        <f t="shared" si="3"/>
        <v>11.92</v>
      </c>
      <c r="J91" s="82"/>
      <c r="K91" s="106"/>
      <c r="L91" s="106"/>
      <c r="M91" s="106"/>
      <c r="N91" s="121"/>
      <c r="O91" s="121"/>
      <c r="P91" s="121"/>
      <c r="Q91" s="121"/>
      <c r="R91" s="82"/>
      <c r="S91" s="82"/>
      <c r="T91" s="82"/>
      <c r="U91" s="82"/>
      <c r="V91" s="91"/>
      <c r="W91" s="91"/>
      <c r="X91" s="91"/>
      <c r="Y91" s="91"/>
      <c r="Z91" s="91"/>
      <c r="AA91" s="91"/>
      <c r="AB91" s="91"/>
      <c r="AC91" s="91"/>
      <c r="AD91" s="91"/>
      <c r="AE91" s="91"/>
      <c r="AF91" s="82"/>
      <c r="AG91" s="82"/>
      <c r="AH91" s="82"/>
      <c r="AI91" s="82"/>
      <c r="AJ91" s="82"/>
    </row>
    <row r="92" spans="1:36" s="49" customFormat="1" x14ac:dyDescent="0.25">
      <c r="A92" s="96"/>
      <c r="B92" s="45">
        <f>IF(OR(B14=1, B14=2),1,"")</f>
        <v>1</v>
      </c>
      <c r="C92" s="43" t="str">
        <f>IF(OR(B14=1, B14=2),"each","")</f>
        <v>each</v>
      </c>
      <c r="D92" s="130">
        <f>IF(OR(B14=1, B14=2),9604,"")</f>
        <v>9604</v>
      </c>
      <c r="E92" s="130"/>
      <c r="F92" s="53" t="str">
        <f>IF(OR(B14=1, B14=2),"Johnny's Selected Seeds","")</f>
        <v>Johnny's Selected Seeds</v>
      </c>
      <c r="G92" s="47" t="str">
        <f>IF(OR(B14=1, B14=2),"Coiled #9 Support Wire - 60'","")</f>
        <v>Coiled #9 Support Wire - 60'</v>
      </c>
      <c r="H92" s="32">
        <f>IF(OR(B14=1, B14=2),33,"")</f>
        <v>33</v>
      </c>
      <c r="I92" s="32">
        <f t="shared" si="3"/>
        <v>33</v>
      </c>
      <c r="J92" s="82"/>
      <c r="K92" s="106"/>
      <c r="L92" s="106"/>
      <c r="M92" s="106"/>
      <c r="N92" s="121"/>
      <c r="O92" s="121"/>
      <c r="P92" s="121"/>
      <c r="Q92" s="121"/>
      <c r="R92" s="82"/>
      <c r="S92" s="82"/>
      <c r="T92" s="82"/>
      <c r="U92" s="82"/>
      <c r="V92" s="91"/>
      <c r="W92" s="91"/>
      <c r="X92" s="91"/>
      <c r="Y92" s="91"/>
      <c r="Z92" s="91"/>
      <c r="AA92" s="91"/>
      <c r="AB92" s="91"/>
      <c r="AC92" s="91"/>
      <c r="AD92" s="91"/>
      <c r="AE92" s="91"/>
      <c r="AF92" s="82"/>
      <c r="AG92" s="82"/>
      <c r="AH92" s="82"/>
      <c r="AI92" s="82"/>
      <c r="AJ92" s="82"/>
    </row>
    <row r="93" spans="1:36" s="49" customFormat="1" x14ac:dyDescent="0.25">
      <c r="A93" s="96"/>
      <c r="B93" s="45">
        <f>IF(OR(B14=1, B14=2),ROUNDUP(8*B14/4,0),"")</f>
        <v>2</v>
      </c>
      <c r="C93" s="43" t="str">
        <f>IF(OR(B14=1, B14=2),"each","")</f>
        <v>each</v>
      </c>
      <c r="D93" s="130">
        <f>IF(OR(B14=1, B14=2),292141,"")</f>
        <v>292141</v>
      </c>
      <c r="E93" s="130"/>
      <c r="F93" s="53" t="str">
        <f>IF(OR(B14=1, B14=2),"Home Depot","")</f>
        <v>Home Depot</v>
      </c>
      <c r="G93" s="47" t="str">
        <f>IF(OR(B14=1, B14=2),"3/32 in.-1/8 in. Cable Clamps, pack of 4","")</f>
        <v>3/32 in.-1/8 in. Cable Clamps, pack of 4</v>
      </c>
      <c r="H93" s="32">
        <f>IF(OR(B14=1, B14=2),1.98,"")</f>
        <v>1.98</v>
      </c>
      <c r="I93" s="32">
        <f t="shared" si="3"/>
        <v>3.96</v>
      </c>
      <c r="J93" s="82"/>
      <c r="K93" s="106"/>
      <c r="L93" s="106"/>
      <c r="M93" s="106"/>
      <c r="N93" s="121"/>
      <c r="O93" s="121"/>
      <c r="P93" s="121"/>
      <c r="Q93" s="121"/>
      <c r="R93" s="82"/>
      <c r="S93" s="82"/>
      <c r="T93" s="82"/>
      <c r="U93" s="82"/>
      <c r="V93" s="91"/>
      <c r="W93" s="91"/>
      <c r="X93" s="91"/>
      <c r="Y93" s="91"/>
      <c r="Z93" s="91"/>
      <c r="AA93" s="91"/>
      <c r="AB93" s="91"/>
      <c r="AC93" s="91"/>
      <c r="AD93" s="91"/>
      <c r="AE93" s="91"/>
      <c r="AF93" s="82"/>
      <c r="AG93" s="82"/>
      <c r="AH93" s="82"/>
      <c r="AI93" s="82"/>
      <c r="AJ93" s="82"/>
    </row>
    <row r="94" spans="1:36" s="49" customFormat="1" x14ac:dyDescent="0.25">
      <c r="A94" s="96"/>
      <c r="B94" s="45">
        <f>IF(OR(B14=1, B14=2),2*B14,"")</f>
        <v>2</v>
      </c>
      <c r="C94" s="43" t="str">
        <f>IF(OR(B14=1, B14=2),"each","")</f>
        <v>each</v>
      </c>
      <c r="D94" s="130">
        <f>IF(OR(B14=1, B14=2),117741,"")</f>
        <v>117741</v>
      </c>
      <c r="E94" s="130"/>
      <c r="F94" s="53" t="str">
        <f>IF(OR(B14=1, B14=2),"Home Depot","")</f>
        <v>Home Depot</v>
      </c>
      <c r="G94" s="47" t="str">
        <f>IF(OR(B14=1, B14=2),"1/4 in. x 7-3/4 in. Zinc-Plated Turnbuckles with Hook &amp; Eye","")</f>
        <v>1/4 in. x 7-3/4 in. Zinc-Plated Turnbuckles with Hook &amp; Eye</v>
      </c>
      <c r="H94" s="32">
        <f>IF(OR(B14=1, B14=2),1.93,"")</f>
        <v>1.93</v>
      </c>
      <c r="I94" s="32">
        <f>IF(H94="","",B94*H94)</f>
        <v>3.86</v>
      </c>
      <c r="J94" s="82"/>
      <c r="K94" s="106"/>
      <c r="L94" s="106"/>
      <c r="M94" s="106"/>
      <c r="N94" s="121"/>
      <c r="O94" s="121"/>
      <c r="P94" s="121"/>
      <c r="Q94" s="121"/>
      <c r="R94" s="82"/>
      <c r="S94" s="82"/>
      <c r="T94" s="82"/>
      <c r="U94" s="82"/>
      <c r="V94" s="91"/>
      <c r="W94" s="91"/>
      <c r="X94" s="91"/>
      <c r="Y94" s="91"/>
      <c r="Z94" s="91"/>
      <c r="AA94" s="91"/>
      <c r="AB94" s="91"/>
      <c r="AC94" s="91"/>
      <c r="AD94" s="91"/>
      <c r="AE94" s="91"/>
      <c r="AF94" s="82"/>
      <c r="AG94" s="82"/>
      <c r="AH94" s="82"/>
      <c r="AI94" s="82"/>
      <c r="AJ94" s="82"/>
    </row>
    <row r="95" spans="1:36" s="49" customFormat="1" x14ac:dyDescent="0.25">
      <c r="A95" s="96"/>
      <c r="B95" s="45">
        <f>IF(OR(B14=1, B14=2),2*B14,"")</f>
        <v>2</v>
      </c>
      <c r="C95" s="43" t="str">
        <f>IF(OR(B14=1, B14=2),"each","")</f>
        <v>each</v>
      </c>
      <c r="D95" s="130">
        <f>IF(OR(B14=1, B14=2),240664,"")</f>
        <v>240664</v>
      </c>
      <c r="E95" s="130"/>
      <c r="F95" s="53" t="str">
        <f>IF(OR(B14=1, B14=2),"Home Depot","")</f>
        <v>Home Depot</v>
      </c>
      <c r="G95" s="47" t="str">
        <f>IF(OR(B14=1, B14=2),"6 in. Zinc Plated Heavy Duty Barrel Bolt","")</f>
        <v>6 in. Zinc Plated Heavy Duty Barrel Bolt</v>
      </c>
      <c r="H95" s="32">
        <f>IF(OR(B14=1, B14=2),7.87,"")</f>
        <v>7.87</v>
      </c>
      <c r="I95" s="32">
        <f t="shared" ref="I95:I101" si="4">IF(H95="","",B95*H95)</f>
        <v>15.74</v>
      </c>
      <c r="J95" s="82"/>
      <c r="K95" s="106"/>
      <c r="L95" s="106"/>
      <c r="M95" s="106"/>
      <c r="N95" s="121"/>
      <c r="O95" s="121"/>
      <c r="P95" s="121"/>
      <c r="Q95" s="121"/>
      <c r="R95" s="82"/>
      <c r="S95" s="82"/>
      <c r="T95" s="82"/>
      <c r="U95" s="82"/>
      <c r="V95" s="91"/>
      <c r="W95" s="91"/>
      <c r="X95" s="91"/>
      <c r="Y95" s="91"/>
      <c r="Z95" s="91"/>
      <c r="AA95" s="91"/>
      <c r="AB95" s="91"/>
      <c r="AC95" s="91"/>
      <c r="AD95" s="91"/>
      <c r="AE95" s="91"/>
      <c r="AF95" s="82"/>
      <c r="AG95" s="82"/>
      <c r="AH95" s="82"/>
      <c r="AI95" s="82"/>
      <c r="AJ95" s="82"/>
    </row>
    <row r="96" spans="1:36" s="49" customFormat="1" x14ac:dyDescent="0.25">
      <c r="A96" s="96"/>
      <c r="B96" s="45">
        <f>IF(OR(B14=1, B14=2),2*B14,"")</f>
        <v>2</v>
      </c>
      <c r="C96" s="43" t="str">
        <f>IF(OR(B14=1, B14=2),"each","")</f>
        <v>each</v>
      </c>
      <c r="D96" s="130">
        <f>IF(OR(B14=1, B14=2),120583,"")</f>
        <v>120583</v>
      </c>
      <c r="E96" s="130"/>
      <c r="F96" s="53" t="str">
        <f>IF(OR(B14=1, B14=2),"Home Depot","")</f>
        <v>Home Depot</v>
      </c>
      <c r="G96" s="47" t="str">
        <f>IF(OR(B14=1, B14=2),"6 in. 12-Gauge Heavy Strap Ties","")</f>
        <v>6 in. 12-Gauge Heavy Strap Ties</v>
      </c>
      <c r="H96" s="32">
        <f>IF(OR(B14=1, B14=2),1.97,"")</f>
        <v>1.97</v>
      </c>
      <c r="I96" s="32">
        <f t="shared" si="4"/>
        <v>3.94</v>
      </c>
      <c r="J96" s="82"/>
      <c r="K96" s="106"/>
      <c r="L96" s="106"/>
      <c r="M96" s="106"/>
      <c r="N96" s="121"/>
      <c r="O96" s="121"/>
      <c r="P96" s="121"/>
      <c r="Q96" s="121"/>
      <c r="R96" s="82"/>
      <c r="S96" s="82"/>
      <c r="T96" s="82"/>
      <c r="U96" s="82"/>
      <c r="V96" s="91"/>
      <c r="W96" s="91"/>
      <c r="X96" s="91"/>
      <c r="Y96" s="91"/>
      <c r="Z96" s="91"/>
      <c r="AA96" s="91"/>
      <c r="AB96" s="91"/>
      <c r="AC96" s="91"/>
      <c r="AD96" s="91"/>
      <c r="AE96" s="91"/>
      <c r="AF96" s="82"/>
      <c r="AG96" s="82"/>
      <c r="AH96" s="82"/>
      <c r="AI96" s="82"/>
      <c r="AJ96" s="82"/>
    </row>
    <row r="97" spans="1:36" s="49" customFormat="1" x14ac:dyDescent="0.25">
      <c r="A97" s="96"/>
      <c r="B97" s="45">
        <f>IF(OR(B14=1, B14=2),1,"")</f>
        <v>1</v>
      </c>
      <c r="C97" s="43" t="str">
        <f>IF(OR(B14=1, B14=2),"each","")</f>
        <v>each</v>
      </c>
      <c r="D97" s="130">
        <f>IF(OR(B14=1, B14=2),879282,"")</f>
        <v>879282</v>
      </c>
      <c r="E97" s="130"/>
      <c r="F97" s="53" t="str">
        <f>IF(OR(B14=1, B14=2),"Home Depot","")</f>
        <v>Home Depot</v>
      </c>
      <c r="G97" s="47" t="str">
        <f>IF(OR(B14=1, B14=2),"8 in. Wooden Shims, bundle of 12","")</f>
        <v>8 in. Wooden Shims, bundle of 12</v>
      </c>
      <c r="H97" s="32">
        <f>IF(OR(B14=1, B14=2),1.82,"")</f>
        <v>1.82</v>
      </c>
      <c r="I97" s="32">
        <f t="shared" si="4"/>
        <v>1.82</v>
      </c>
      <c r="J97" s="82"/>
      <c r="K97" s="106"/>
      <c r="L97" s="106"/>
      <c r="M97" s="106"/>
      <c r="N97" s="121"/>
      <c r="O97" s="121"/>
      <c r="P97" s="121"/>
      <c r="Q97" s="121"/>
      <c r="R97" s="82"/>
      <c r="S97" s="82"/>
      <c r="T97" s="82"/>
      <c r="U97" s="82"/>
      <c r="V97" s="91"/>
      <c r="W97" s="91"/>
      <c r="X97" s="91"/>
      <c r="Y97" s="91"/>
      <c r="Z97" s="91"/>
      <c r="AA97" s="91"/>
      <c r="AB97" s="91"/>
      <c r="AC97" s="91"/>
      <c r="AD97" s="91"/>
      <c r="AE97" s="91"/>
      <c r="AF97" s="82"/>
      <c r="AG97" s="82"/>
      <c r="AH97" s="82"/>
      <c r="AI97" s="82"/>
      <c r="AJ97" s="82"/>
    </row>
    <row r="98" spans="1:36" s="49" customFormat="1" x14ac:dyDescent="0.25">
      <c r="A98" s="96"/>
      <c r="B98" s="45">
        <f>IF(OR(B14=1, B14=2),B14,"")</f>
        <v>1</v>
      </c>
      <c r="C98" s="43" t="str">
        <f>IF(OR(B14=1, B14=2),"each","")</f>
        <v>each</v>
      </c>
      <c r="D98" s="130">
        <f>IF(OR(B14=1, B14=2),671223,"")</f>
        <v>671223</v>
      </c>
      <c r="E98" s="130"/>
      <c r="F98" s="53" t="str">
        <f>IF(OR(B14=1, B14=2),"Home Depot","")</f>
        <v>Home Depot</v>
      </c>
      <c r="G98" s="47" t="str">
        <f>IF(OR(B14=1, B14=2),"3/8 in. x 36 in. Zinc-plated Threaded Rod","")</f>
        <v>3/8 in. x 36 in. Zinc-plated Threaded Rod</v>
      </c>
      <c r="H98" s="32">
        <f>IF(OR(B14=1, B14=2),2.87,"")</f>
        <v>2.87</v>
      </c>
      <c r="I98" s="32">
        <f t="shared" si="4"/>
        <v>2.87</v>
      </c>
      <c r="J98" s="82"/>
      <c r="K98" s="106"/>
      <c r="L98" s="106"/>
      <c r="M98" s="106"/>
      <c r="N98" s="121"/>
      <c r="O98" s="121"/>
      <c r="P98" s="121"/>
      <c r="Q98" s="121"/>
      <c r="R98" s="82"/>
      <c r="S98" s="82"/>
      <c r="T98" s="82"/>
      <c r="U98" s="82"/>
      <c r="V98" s="91"/>
      <c r="W98" s="91"/>
      <c r="X98" s="91"/>
      <c r="Y98" s="91"/>
      <c r="Z98" s="91"/>
      <c r="AA98" s="91"/>
      <c r="AB98" s="91"/>
      <c r="AC98" s="91"/>
      <c r="AD98" s="91"/>
      <c r="AE98" s="91"/>
      <c r="AF98" s="82"/>
      <c r="AG98" s="82"/>
      <c r="AH98" s="82"/>
      <c r="AI98" s="82"/>
      <c r="AJ98" s="82"/>
    </row>
    <row r="99" spans="1:36" s="49" customFormat="1" x14ac:dyDescent="0.25">
      <c r="A99" s="96"/>
      <c r="B99" s="45">
        <f>IF(OR(B14=1, B14=2),4*B14,"")</f>
        <v>4</v>
      </c>
      <c r="C99" s="43" t="str">
        <f>IF(OR(B14=1, B14=2),"each","")</f>
        <v>each</v>
      </c>
      <c r="D99" s="130">
        <f>IF(OR(B14=1, B14=2),7242,"")</f>
        <v>7242</v>
      </c>
      <c r="E99" s="130"/>
      <c r="F99" s="53" t="str">
        <f>IF(OR(B14=1, B14=2),"www.boltdepot.com","")</f>
        <v>www.boltdepot.com</v>
      </c>
      <c r="G99" s="47" t="str">
        <f>IF(OR(B14=1, B14=2),"3/8 in. nylock nuts","")</f>
        <v>3/8 in. nylock nuts</v>
      </c>
      <c r="H99" s="32">
        <f>IF(OR(B14=1, B14=2),0.08,"")</f>
        <v>0.08</v>
      </c>
      <c r="I99" s="32">
        <f>IF(H99="","",B99*H99)</f>
        <v>0.32</v>
      </c>
      <c r="J99" s="82"/>
      <c r="K99" s="106"/>
      <c r="L99" s="106"/>
      <c r="M99" s="106"/>
      <c r="N99" s="121"/>
      <c r="O99" s="121"/>
      <c r="P99" s="121"/>
      <c r="Q99" s="121"/>
      <c r="R99" s="82"/>
      <c r="S99" s="82"/>
      <c r="T99" s="82"/>
      <c r="U99" s="82"/>
      <c r="V99" s="91"/>
      <c r="W99" s="91"/>
      <c r="X99" s="91"/>
      <c r="Y99" s="91"/>
      <c r="Z99" s="91"/>
      <c r="AA99" s="91"/>
      <c r="AB99" s="91"/>
      <c r="AC99" s="91"/>
      <c r="AD99" s="91"/>
      <c r="AE99" s="91"/>
      <c r="AF99" s="82"/>
      <c r="AG99" s="82"/>
      <c r="AH99" s="82"/>
      <c r="AI99" s="82"/>
      <c r="AJ99" s="82"/>
    </row>
    <row r="100" spans="1:36" s="49" customFormat="1" x14ac:dyDescent="0.25">
      <c r="A100" s="96"/>
      <c r="B100" s="45">
        <f>IF(OR(B14=1, B14=2),2*B14,"")</f>
        <v>2</v>
      </c>
      <c r="C100" s="43" t="str">
        <f>IF(OR(B14=1, B14=2),"each","")</f>
        <v>each</v>
      </c>
      <c r="D100" s="130">
        <f>IF(OR(B14=1, B14=2),2978,"")</f>
        <v>2978</v>
      </c>
      <c r="E100" s="130"/>
      <c r="F100" s="53" t="str">
        <f>IF(OR(B14=1, B14=2),"www.boltdepot.com","")</f>
        <v>www.boltdepot.com</v>
      </c>
      <c r="G100" s="47" t="str">
        <f>IF(OR(B14=1, B14=2),"3/8 in. flat washer","")</f>
        <v>3/8 in. flat washer</v>
      </c>
      <c r="H100" s="32">
        <f>IF(OR(B14=1, B14=2),0.07,"")</f>
        <v>7.0000000000000007E-2</v>
      </c>
      <c r="I100" s="32">
        <f>IF(H100="","",B100*H100)</f>
        <v>0.14000000000000001</v>
      </c>
      <c r="J100" s="82"/>
      <c r="K100" s="106"/>
      <c r="L100" s="106"/>
      <c r="M100" s="106"/>
      <c r="N100" s="121"/>
      <c r="O100" s="121"/>
      <c r="P100" s="121"/>
      <c r="Q100" s="121"/>
      <c r="R100" s="82"/>
      <c r="S100" s="82"/>
      <c r="T100" s="82"/>
      <c r="U100" s="82"/>
      <c r="V100" s="91"/>
      <c r="W100" s="91"/>
      <c r="X100" s="91"/>
      <c r="Y100" s="91"/>
      <c r="Z100" s="91"/>
      <c r="AA100" s="91"/>
      <c r="AB100" s="91"/>
      <c r="AC100" s="91"/>
      <c r="AD100" s="91"/>
      <c r="AE100" s="91"/>
      <c r="AF100" s="82"/>
      <c r="AG100" s="82"/>
      <c r="AH100" s="82"/>
      <c r="AI100" s="82"/>
      <c r="AJ100" s="82"/>
    </row>
    <row r="101" spans="1:36" s="49" customFormat="1" x14ac:dyDescent="0.25">
      <c r="A101" s="96"/>
      <c r="B101" s="45">
        <f>IF(OR(B14=1, B14=2),2*B14,"")</f>
        <v>2</v>
      </c>
      <c r="C101" s="43" t="str">
        <f>IF(OR(B14=1, B14=2),"each","")</f>
        <v>each</v>
      </c>
      <c r="D101" s="139" t="str">
        <f>IF(OR(B14=1, B14=2),"9673.500","")</f>
        <v>9673.500</v>
      </c>
      <c r="E101" s="140"/>
      <c r="F101" s="53" t="str">
        <f>IF(OR(B14=1, B14=2),"Johnny's Selected Seeds","")</f>
        <v>Johnny's Selected Seeds</v>
      </c>
      <c r="G101" s="47" t="str">
        <f>IF(OR(B14=1, B14=2),"Small Hand Tool Replacement Handles","")</f>
        <v>Small Hand Tool Replacement Handles</v>
      </c>
      <c r="H101" s="32">
        <f>IF(OR(B14=1, B14=2),10.2,"")</f>
        <v>10.199999999999999</v>
      </c>
      <c r="I101" s="32">
        <f t="shared" si="4"/>
        <v>20.399999999999999</v>
      </c>
      <c r="J101" s="82"/>
      <c r="K101" s="106"/>
      <c r="L101" s="106"/>
      <c r="M101" s="106"/>
      <c r="N101" s="121"/>
      <c r="O101" s="121"/>
      <c r="P101" s="121"/>
      <c r="Q101" s="121"/>
      <c r="R101" s="82"/>
      <c r="S101" s="82"/>
      <c r="T101" s="82"/>
      <c r="U101" s="82"/>
      <c r="V101" s="91"/>
      <c r="W101" s="91"/>
      <c r="X101" s="91"/>
      <c r="Y101" s="91"/>
      <c r="Z101" s="91"/>
      <c r="AA101" s="91"/>
      <c r="AB101" s="91"/>
      <c r="AC101" s="91"/>
      <c r="AD101" s="91"/>
      <c r="AE101" s="91"/>
      <c r="AF101" s="82"/>
      <c r="AG101" s="82"/>
      <c r="AH101" s="82"/>
      <c r="AI101" s="82"/>
      <c r="AJ101" s="82"/>
    </row>
    <row r="102" spans="1:36" s="49" customFormat="1" x14ac:dyDescent="0.25">
      <c r="A102" s="50"/>
      <c r="B102" s="135" t="s">
        <v>31</v>
      </c>
      <c r="C102" s="136"/>
      <c r="D102" s="136"/>
      <c r="E102" s="136"/>
      <c r="F102" s="136"/>
      <c r="G102" s="131" t="s">
        <v>33</v>
      </c>
      <c r="H102" s="131"/>
      <c r="I102" s="57">
        <f>SUM(I103:I108)</f>
        <v>565.6099999999999</v>
      </c>
      <c r="J102" s="82"/>
      <c r="K102" s="106"/>
      <c r="L102" s="106"/>
      <c r="M102" s="106"/>
      <c r="N102" s="121"/>
      <c r="O102" s="121"/>
      <c r="P102" s="121"/>
      <c r="Q102" s="121"/>
      <c r="R102" s="82"/>
      <c r="S102" s="82"/>
      <c r="T102" s="82"/>
      <c r="U102" s="82"/>
      <c r="V102" s="91"/>
      <c r="W102" s="91"/>
      <c r="X102" s="91"/>
      <c r="Y102" s="91"/>
      <c r="Z102" s="91"/>
      <c r="AA102" s="91"/>
      <c r="AB102" s="91"/>
      <c r="AC102" s="91"/>
      <c r="AD102" s="91"/>
      <c r="AE102" s="91"/>
      <c r="AF102" s="82"/>
      <c r="AG102" s="82"/>
      <c r="AH102" s="82"/>
      <c r="AI102" s="82"/>
      <c r="AJ102" s="82"/>
    </row>
    <row r="103" spans="1:36" s="49" customFormat="1" x14ac:dyDescent="0.25">
      <c r="A103" s="50"/>
      <c r="B103" s="30">
        <f>IF(AND(B17="x",B18=""),ROUNDUP(D7*2/10,0)+5,"")</f>
        <v>25</v>
      </c>
      <c r="C103" s="30" t="str">
        <f>IF(AND(B17="x",B18=""),"each","")</f>
        <v>each</v>
      </c>
      <c r="D103" s="132">
        <f>IF(AND(B17="x",B18=""),203114,"")</f>
        <v>203114</v>
      </c>
      <c r="E103" s="133"/>
      <c r="F103" s="62" t="str">
        <f>IF(AND(B17="x",B18=""),"Home Depot","")</f>
        <v>Home Depot</v>
      </c>
      <c r="G103" s="41" t="str">
        <f>IF(AND(B17="x",B18=""),"10 ft length of 3/4 in. EMT for roll-up sides","")</f>
        <v>10 ft length of 3/4 in. EMT for roll-up sides</v>
      </c>
      <c r="H103" s="31">
        <f>IF(AND(B17="x",B18=""),H34,"")</f>
        <v>4.2</v>
      </c>
      <c r="I103" s="32">
        <f t="shared" ref="I103:I108" si="5">IF(H103="","",B103*H103)</f>
        <v>105</v>
      </c>
      <c r="J103" s="82"/>
      <c r="K103" s="106"/>
      <c r="L103" s="106"/>
      <c r="M103" s="106"/>
      <c r="N103" s="121"/>
      <c r="O103" s="121"/>
      <c r="P103" s="121"/>
      <c r="Q103" s="121"/>
      <c r="R103" s="82"/>
      <c r="S103" s="82"/>
      <c r="T103" s="82"/>
      <c r="U103" s="82"/>
      <c r="V103" s="91"/>
      <c r="W103" s="91"/>
      <c r="X103" s="91"/>
      <c r="Y103" s="91"/>
      <c r="Z103" s="91"/>
      <c r="AA103" s="91"/>
      <c r="AB103" s="91"/>
      <c r="AC103" s="91"/>
      <c r="AD103" s="91"/>
      <c r="AE103" s="91"/>
      <c r="AF103" s="82"/>
      <c r="AG103" s="82"/>
      <c r="AH103" s="82"/>
      <c r="AI103" s="82"/>
      <c r="AJ103" s="82"/>
    </row>
    <row r="104" spans="1:36" s="49" customFormat="1" x14ac:dyDescent="0.25">
      <c r="A104" s="50"/>
      <c r="B104" s="33">
        <f>IF(AND(B17="x",B18=""),ROUNDUP(B103/5,0),0)</f>
        <v>5</v>
      </c>
      <c r="C104" s="33" t="str">
        <f>IF(AND(B17="x",B18=""),"each","")</f>
        <v>each</v>
      </c>
      <c r="D104" s="132">
        <f>IF(AND(B17="x",B18=""),403636,"")</f>
        <v>403636</v>
      </c>
      <c r="E104" s="133"/>
      <c r="F104" s="62" t="str">
        <f>IF(AND(B17="x",B18=""),"Home Depot","")</f>
        <v>Home Depot</v>
      </c>
      <c r="G104" s="41" t="str">
        <f>IF(AND(B17="x",B18=""),"3/4 in. EMT compression fittings for roll-ups, 5 pack","")</f>
        <v>3/4 in. EMT compression fittings for roll-ups, 5 pack</v>
      </c>
      <c r="H104" s="42">
        <f>IF(AND(B17="x",B18=""),3.49,"")</f>
        <v>3.49</v>
      </c>
      <c r="I104" s="32">
        <f t="shared" si="5"/>
        <v>17.450000000000003</v>
      </c>
      <c r="J104" s="82"/>
      <c r="K104" s="106"/>
      <c r="L104" s="106"/>
      <c r="M104" s="106"/>
      <c r="N104" s="121"/>
      <c r="O104" s="121"/>
      <c r="P104" s="121"/>
      <c r="Q104" s="121"/>
      <c r="R104" s="82"/>
      <c r="S104" s="82"/>
      <c r="T104" s="82"/>
      <c r="U104" s="82"/>
      <c r="V104" s="91"/>
      <c r="W104" s="91"/>
      <c r="X104" s="91"/>
      <c r="Y104" s="91"/>
      <c r="Z104" s="91"/>
      <c r="AA104" s="91"/>
      <c r="AB104" s="91"/>
      <c r="AC104" s="91"/>
      <c r="AD104" s="91"/>
      <c r="AE104" s="91"/>
      <c r="AF104" s="82"/>
      <c r="AG104" s="82"/>
      <c r="AH104" s="82"/>
      <c r="AI104" s="82"/>
      <c r="AJ104" s="82"/>
    </row>
    <row r="105" spans="1:36" s="49" customFormat="1" x14ac:dyDescent="0.25">
      <c r="A105" s="50"/>
      <c r="B105" s="33">
        <f>IF(AND(B17="x",B18=""),2,"")</f>
        <v>2</v>
      </c>
      <c r="C105" s="33" t="str">
        <f>IF(AND(B17="x",B18=""),"each","")</f>
        <v>each</v>
      </c>
      <c r="D105" s="132">
        <f>IF(AND(B17="x",B18=""),7033,"")</f>
        <v>7033</v>
      </c>
      <c r="E105" s="133"/>
      <c r="F105" s="62" t="str">
        <f>IF(AND(B17="x",B18=""),"Johnny's Selected Seeds","")</f>
        <v>Johnny's Selected Seeds</v>
      </c>
      <c r="G105" s="41" t="str">
        <f>IF(AND(B17="x",B18=""),"Sidewall Hand Crank","")</f>
        <v>Sidewall Hand Crank</v>
      </c>
      <c r="H105" s="42">
        <f>IF(AND(B17="x",B18=""),159,"")</f>
        <v>159</v>
      </c>
      <c r="I105" s="32">
        <f t="shared" si="5"/>
        <v>318</v>
      </c>
      <c r="J105" s="82"/>
      <c r="K105" s="106"/>
      <c r="L105" s="106"/>
      <c r="M105" s="106"/>
      <c r="N105" s="121"/>
      <c r="O105" s="121"/>
      <c r="P105" s="121"/>
      <c r="Q105" s="121"/>
      <c r="R105" s="82"/>
      <c r="S105" s="82"/>
      <c r="T105" s="82"/>
      <c r="U105" s="82"/>
      <c r="V105" s="91"/>
      <c r="W105" s="91"/>
      <c r="X105" s="91"/>
      <c r="Y105" s="91"/>
      <c r="Z105" s="91"/>
      <c r="AA105" s="91"/>
      <c r="AB105" s="91"/>
      <c r="AC105" s="91"/>
      <c r="AD105" s="91"/>
      <c r="AE105" s="91"/>
      <c r="AF105" s="82"/>
      <c r="AG105" s="82"/>
      <c r="AH105" s="82"/>
      <c r="AI105" s="82"/>
      <c r="AJ105" s="82"/>
    </row>
    <row r="106" spans="1:36" s="49" customFormat="1" x14ac:dyDescent="0.25">
      <c r="A106" s="50"/>
      <c r="B106" s="33">
        <f>IF(AND(B17="x",B18=""),ROUNDUP(D7/10,0),"")</f>
        <v>10</v>
      </c>
      <c r="C106" s="33" t="str">
        <f>IF(AND(B17="x",B18=""),"each","")</f>
        <v>each</v>
      </c>
      <c r="D106" s="132">
        <f>IF(AND(B17="x",B18=""),9150,"")</f>
        <v>9150</v>
      </c>
      <c r="E106" s="133"/>
      <c r="F106" s="62" t="str">
        <f>IF(AND(B17="x",B18=""),"Johnny's Selected Seeds","")</f>
        <v>Johnny's Selected Seeds</v>
      </c>
      <c r="G106" s="41" t="str">
        <f>IF(AND(B17="x",B18=""),"Snap Clamps for ¾ in. EMT, 10 pack","")</f>
        <v>Snap Clamps for ¾ in. EMT, 10 pack</v>
      </c>
      <c r="H106" s="42">
        <f>IF(AND(B17="x",B18=""),5.89,"")</f>
        <v>5.89</v>
      </c>
      <c r="I106" s="32">
        <f t="shared" si="5"/>
        <v>58.9</v>
      </c>
      <c r="J106" s="82"/>
      <c r="K106" s="106"/>
      <c r="L106" s="106"/>
      <c r="M106" s="106"/>
      <c r="N106" s="121"/>
      <c r="O106" s="121"/>
      <c r="P106" s="121"/>
      <c r="Q106" s="121"/>
      <c r="R106" s="82"/>
      <c r="S106" s="82"/>
      <c r="T106" s="82"/>
      <c r="U106" s="82"/>
      <c r="V106" s="91"/>
      <c r="W106" s="91"/>
      <c r="X106" s="91"/>
      <c r="Y106" s="91"/>
      <c r="Z106" s="91"/>
      <c r="AA106" s="91"/>
      <c r="AB106" s="91"/>
      <c r="AC106" s="91"/>
      <c r="AD106" s="91"/>
      <c r="AE106" s="91"/>
      <c r="AF106" s="82"/>
      <c r="AG106" s="82"/>
      <c r="AH106" s="82"/>
      <c r="AI106" s="82"/>
      <c r="AJ106" s="82"/>
    </row>
    <row r="107" spans="1:36" s="49" customFormat="1" x14ac:dyDescent="0.25">
      <c r="A107" s="50"/>
      <c r="B107" s="33">
        <f>IF(AND(B17="x",B18=""),ROUNDUP(4*D7/1000,0),"")</f>
        <v>1</v>
      </c>
      <c r="C107" s="33" t="str">
        <f>IF(AND(B17="x",B18=""),"each","")</f>
        <v>each</v>
      </c>
      <c r="D107" s="132">
        <f>IF(AND(B17="x",B18=""),1,"")</f>
        <v>1</v>
      </c>
      <c r="E107" s="133"/>
      <c r="F107" s="56" t="str">
        <f>IF(AND(B17="x",B18=""),"www.parachute-cord.com","")</f>
        <v>www.parachute-cord.com</v>
      </c>
      <c r="G107" s="41" t="str">
        <f>IF(AND(B17="x",B18=""),"1000 ft. spool of white parachute cord for lacing","")</f>
        <v>1000 ft. spool of white parachute cord for lacing</v>
      </c>
      <c r="H107" s="42">
        <f>IF(AND(B17="x",B18=""),42.95,"")</f>
        <v>42.95</v>
      </c>
      <c r="I107" s="32">
        <f t="shared" si="5"/>
        <v>42.95</v>
      </c>
      <c r="J107" s="82"/>
      <c r="K107" s="106"/>
      <c r="L107" s="106"/>
      <c r="M107" s="106"/>
      <c r="N107" s="121"/>
      <c r="O107" s="121"/>
      <c r="P107" s="121"/>
      <c r="Q107" s="121"/>
      <c r="R107" s="82"/>
      <c r="S107" s="82"/>
      <c r="T107" s="82"/>
      <c r="U107" s="82"/>
      <c r="V107" s="91"/>
      <c r="W107" s="91"/>
      <c r="X107" s="91"/>
      <c r="Y107" s="91"/>
      <c r="Z107" s="91"/>
      <c r="AA107" s="91"/>
      <c r="AB107" s="91"/>
      <c r="AC107" s="91"/>
      <c r="AD107" s="91"/>
      <c r="AE107" s="91"/>
      <c r="AF107" s="82"/>
      <c r="AG107" s="82"/>
      <c r="AH107" s="82"/>
      <c r="AI107" s="82"/>
      <c r="AJ107" s="82"/>
    </row>
    <row r="108" spans="1:36" s="49" customFormat="1" x14ac:dyDescent="0.25">
      <c r="A108" s="50"/>
      <c r="B108" s="33">
        <f>IF(AND(B17="x",B18=""),ROUNDUP((2*D11+8)/25,0),"")</f>
        <v>3</v>
      </c>
      <c r="C108" s="33" t="str">
        <f>IF(AND(B17="x",B18=""),"each","")</f>
        <v>each</v>
      </c>
      <c r="D108" s="132">
        <f>IF(AND(B17="x",B18=""),727401,"")</f>
        <v>727401</v>
      </c>
      <c r="E108" s="133"/>
      <c r="F108" s="62" t="str">
        <f>IF(AND(B17="x",B18=""),"Home Depot","")</f>
        <v>Home Depot</v>
      </c>
      <c r="G108" s="41" t="str">
        <f>IF(AND(B17="x",B18=""),"#4 zinc plated steel screw eyes, pack of 25","")</f>
        <v>#4 zinc plated steel screw eyes, pack of 25</v>
      </c>
      <c r="H108" s="42">
        <f>IF(AND(B17="x",B18=""),7.77,"")</f>
        <v>7.77</v>
      </c>
      <c r="I108" s="32">
        <f t="shared" si="5"/>
        <v>23.31</v>
      </c>
      <c r="J108" s="82"/>
      <c r="K108" s="106"/>
      <c r="L108" s="106"/>
      <c r="M108" s="106"/>
      <c r="N108" s="121"/>
      <c r="O108" s="121"/>
      <c r="P108" s="121"/>
      <c r="Q108" s="121"/>
      <c r="R108" s="82"/>
      <c r="S108" s="82"/>
      <c r="T108" s="82"/>
      <c r="U108" s="82"/>
      <c r="V108" s="91"/>
      <c r="W108" s="91"/>
      <c r="X108" s="91"/>
      <c r="Y108" s="91"/>
      <c r="Z108" s="91"/>
      <c r="AA108" s="91"/>
      <c r="AB108" s="91"/>
      <c r="AC108" s="91"/>
      <c r="AD108" s="91"/>
      <c r="AE108" s="91"/>
      <c r="AF108" s="82"/>
      <c r="AG108" s="82"/>
      <c r="AH108" s="82"/>
      <c r="AI108" s="82"/>
      <c r="AJ108" s="82"/>
    </row>
    <row r="109" spans="1:36" s="49" customFormat="1" ht="18.75" x14ac:dyDescent="0.25">
      <c r="A109" s="50"/>
      <c r="B109" s="14" t="s">
        <v>54</v>
      </c>
      <c r="C109" s="6"/>
      <c r="D109" s="26"/>
      <c r="E109" s="27"/>
      <c r="F109" s="7"/>
      <c r="G109" s="7"/>
      <c r="H109" s="12" t="s">
        <v>4</v>
      </c>
      <c r="I109" s="13">
        <f>SUM(I25+I28+I41+I46+I52+I59+I73+I102)</f>
        <v>4359.46</v>
      </c>
      <c r="J109" s="82"/>
      <c r="K109" s="106"/>
      <c r="L109" s="106"/>
      <c r="M109" s="106"/>
      <c r="N109" s="121"/>
      <c r="O109" s="121"/>
      <c r="P109" s="121"/>
      <c r="Q109" s="121"/>
      <c r="R109" s="82"/>
      <c r="S109" s="82"/>
      <c r="T109" s="82"/>
      <c r="U109" s="82"/>
      <c r="V109" s="91"/>
      <c r="W109" s="91"/>
      <c r="X109" s="91"/>
      <c r="Y109" s="91"/>
      <c r="Z109" s="91"/>
      <c r="AA109" s="91"/>
      <c r="AB109" s="91"/>
      <c r="AC109" s="91"/>
      <c r="AD109" s="91"/>
      <c r="AE109" s="91"/>
      <c r="AF109" s="82"/>
      <c r="AG109" s="82"/>
      <c r="AH109" s="82"/>
      <c r="AI109" s="82"/>
      <c r="AJ109" s="82"/>
    </row>
    <row r="110" spans="1:36" s="49" customFormat="1" x14ac:dyDescent="0.25">
      <c r="A110" s="50"/>
      <c r="B110" s="14"/>
      <c r="C110" s="6"/>
      <c r="D110" s="6"/>
      <c r="E110" s="7"/>
      <c r="F110" s="7"/>
      <c r="G110" s="7"/>
      <c r="H110" s="8"/>
      <c r="I110" s="8"/>
      <c r="J110" s="82"/>
      <c r="K110" s="106"/>
      <c r="L110" s="106"/>
      <c r="M110" s="106"/>
      <c r="N110" s="121"/>
      <c r="O110" s="121"/>
      <c r="P110" s="121"/>
      <c r="Q110" s="121"/>
      <c r="R110" s="82"/>
      <c r="S110" s="82"/>
      <c r="T110" s="82"/>
      <c r="U110" s="82"/>
      <c r="V110" s="91"/>
      <c r="W110" s="91"/>
      <c r="X110" s="91"/>
      <c r="Y110" s="91"/>
      <c r="Z110" s="91"/>
      <c r="AA110" s="91"/>
      <c r="AB110" s="91"/>
      <c r="AC110" s="91"/>
      <c r="AD110" s="91"/>
      <c r="AE110" s="91"/>
      <c r="AF110" s="82"/>
      <c r="AG110" s="82"/>
      <c r="AH110" s="82"/>
      <c r="AI110" s="82"/>
      <c r="AJ110" s="82"/>
    </row>
    <row r="111" spans="1:36" s="49" customFormat="1" x14ac:dyDescent="0.25">
      <c r="A111" s="50"/>
      <c r="B111" s="7" t="s">
        <v>17</v>
      </c>
      <c r="C111" s="6"/>
      <c r="D111" s="6"/>
      <c r="E111" s="4"/>
      <c r="F111" s="4"/>
      <c r="G111" s="7"/>
      <c r="H111" s="4"/>
      <c r="I111" s="4"/>
      <c r="J111" s="82"/>
      <c r="K111" s="106"/>
      <c r="L111" s="106"/>
      <c r="M111" s="106"/>
      <c r="N111" s="121"/>
      <c r="O111" s="121"/>
      <c r="P111" s="121"/>
      <c r="Q111" s="121"/>
      <c r="R111" s="82"/>
      <c r="S111" s="82"/>
      <c r="T111" s="82"/>
      <c r="U111" s="82"/>
      <c r="V111" s="91"/>
      <c r="W111" s="91"/>
      <c r="X111" s="91"/>
      <c r="Y111" s="91"/>
      <c r="Z111" s="91"/>
      <c r="AA111" s="91"/>
      <c r="AB111" s="91"/>
      <c r="AC111" s="91"/>
      <c r="AD111" s="91"/>
      <c r="AE111" s="91"/>
      <c r="AF111" s="82"/>
      <c r="AG111" s="82"/>
      <c r="AH111" s="82"/>
      <c r="AI111" s="82"/>
      <c r="AJ111" s="82"/>
    </row>
    <row r="112" spans="1:36" s="49" customFormat="1" x14ac:dyDescent="0.25">
      <c r="A112" s="50"/>
      <c r="B112" s="14" t="s">
        <v>15</v>
      </c>
      <c r="C112" s="6"/>
      <c r="D112" s="6"/>
      <c r="E112" s="4"/>
      <c r="F112" s="4"/>
      <c r="G112" s="7"/>
      <c r="H112" s="8"/>
      <c r="I112" s="8"/>
      <c r="J112" s="82"/>
      <c r="K112" s="106"/>
      <c r="L112" s="106"/>
      <c r="M112" s="106"/>
      <c r="N112" s="121"/>
      <c r="O112" s="121"/>
      <c r="P112" s="121"/>
      <c r="Q112" s="121"/>
      <c r="R112" s="82"/>
      <c r="S112" s="82"/>
      <c r="T112" s="82"/>
      <c r="U112" s="82"/>
      <c r="V112" s="91"/>
      <c r="W112" s="91"/>
      <c r="X112" s="91"/>
      <c r="Y112" s="91"/>
      <c r="Z112" s="91"/>
      <c r="AA112" s="91"/>
      <c r="AB112" s="91"/>
      <c r="AC112" s="91"/>
      <c r="AD112" s="91"/>
      <c r="AE112" s="91"/>
      <c r="AF112" s="82"/>
      <c r="AG112" s="82"/>
      <c r="AH112" s="82"/>
      <c r="AI112" s="82"/>
      <c r="AJ112" s="82"/>
    </row>
    <row r="113" spans="1:36" s="49" customFormat="1" x14ac:dyDescent="0.25">
      <c r="A113" s="50"/>
      <c r="B113" s="6"/>
      <c r="C113" s="6"/>
      <c r="D113" s="6"/>
      <c r="E113" s="4"/>
      <c r="F113" s="4"/>
      <c r="G113" s="7"/>
      <c r="H113" s="8"/>
      <c r="I113" s="8"/>
      <c r="J113" s="82"/>
      <c r="K113" s="106"/>
      <c r="L113" s="106"/>
      <c r="M113" s="106"/>
      <c r="N113" s="121"/>
      <c r="O113" s="121"/>
      <c r="P113" s="121"/>
      <c r="Q113" s="121"/>
      <c r="R113" s="82"/>
      <c r="S113" s="82"/>
      <c r="T113" s="82"/>
      <c r="U113" s="82"/>
      <c r="V113" s="91"/>
      <c r="W113" s="91"/>
      <c r="X113" s="91"/>
      <c r="Y113" s="91"/>
      <c r="Z113" s="91"/>
      <c r="AA113" s="91"/>
      <c r="AB113" s="91"/>
      <c r="AC113" s="91"/>
      <c r="AD113" s="91"/>
      <c r="AE113" s="91"/>
      <c r="AF113" s="82"/>
      <c r="AG113" s="82"/>
      <c r="AH113" s="82"/>
      <c r="AI113" s="82"/>
      <c r="AJ113" s="82"/>
    </row>
    <row r="114" spans="1:36" x14ac:dyDescent="0.25">
      <c r="G114" s="7"/>
      <c r="H114" s="8"/>
      <c r="I114" s="8"/>
    </row>
    <row r="115" spans="1:36" x14ac:dyDescent="0.25">
      <c r="G115" s="7"/>
      <c r="H115" s="8"/>
      <c r="I115" s="8"/>
      <c r="J115" s="82"/>
    </row>
    <row r="116" spans="1:36" ht="15" customHeight="1" x14ac:dyDescent="0.25">
      <c r="G116" s="7"/>
      <c r="H116" s="8"/>
      <c r="I116" s="8"/>
      <c r="J116" s="82"/>
    </row>
    <row r="117" spans="1:36" ht="15" customHeight="1" x14ac:dyDescent="0.25">
      <c r="E117" s="7"/>
      <c r="F117" s="7"/>
      <c r="G117" s="7"/>
      <c r="H117" s="8"/>
      <c r="I117" s="8"/>
      <c r="J117" s="82"/>
    </row>
    <row r="118" spans="1:36" ht="15" customHeight="1" x14ac:dyDescent="0.25">
      <c r="E118" s="7"/>
      <c r="F118" s="7"/>
      <c r="G118" s="7"/>
      <c r="H118" s="8"/>
      <c r="I118" s="8"/>
      <c r="J118" s="82"/>
    </row>
    <row r="119" spans="1:36" ht="15" customHeight="1" x14ac:dyDescent="0.25">
      <c r="E119" s="7"/>
      <c r="F119" s="7"/>
      <c r="G119" s="7"/>
      <c r="H119" s="8"/>
      <c r="I119" s="8"/>
      <c r="J119" s="82"/>
    </row>
    <row r="120" spans="1:36" ht="15" customHeight="1" x14ac:dyDescent="0.25"/>
    <row r="121" spans="1:36" ht="22.5" customHeight="1" x14ac:dyDescent="0.25"/>
  </sheetData>
  <mergeCells count="108">
    <mergeCell ref="D89:E89"/>
    <mergeCell ref="D90:E90"/>
    <mergeCell ref="D91:E91"/>
    <mergeCell ref="D55:E55"/>
    <mergeCell ref="G41:H41"/>
    <mergeCell ref="D83:E83"/>
    <mergeCell ref="D88:E88"/>
    <mergeCell ref="D84:E84"/>
    <mergeCell ref="D85:E85"/>
    <mergeCell ref="B41:F41"/>
    <mergeCell ref="D80:E80"/>
    <mergeCell ref="D81:E81"/>
    <mergeCell ref="D71:E71"/>
    <mergeCell ref="D53:E53"/>
    <mergeCell ref="G20:I21"/>
    <mergeCell ref="D58:E58"/>
    <mergeCell ref="D49:E49"/>
    <mergeCell ref="B46:F46"/>
    <mergeCell ref="G46:H46"/>
    <mergeCell ref="B2:I2"/>
    <mergeCell ref="B7:C7"/>
    <mergeCell ref="D24:E24"/>
    <mergeCell ref="D30:E30"/>
    <mergeCell ref="G17:I18"/>
    <mergeCell ref="G13:I15"/>
    <mergeCell ref="B3:I3"/>
    <mergeCell ref="B5:E5"/>
    <mergeCell ref="B10:C10"/>
    <mergeCell ref="F10:I10"/>
    <mergeCell ref="D10:E10"/>
    <mergeCell ref="B11:C11"/>
    <mergeCell ref="B8:C8"/>
    <mergeCell ref="D47:E47"/>
    <mergeCell ref="D43:E43"/>
    <mergeCell ref="D27:E27"/>
    <mergeCell ref="B25:F25"/>
    <mergeCell ref="D26:E26"/>
    <mergeCell ref="D35:E35"/>
    <mergeCell ref="D107:E107"/>
    <mergeCell ref="D108:E108"/>
    <mergeCell ref="B59:F59"/>
    <mergeCell ref="D72:E72"/>
    <mergeCell ref="D66:E66"/>
    <mergeCell ref="D64:E64"/>
    <mergeCell ref="D100:E100"/>
    <mergeCell ref="D101:E101"/>
    <mergeCell ref="D60:E60"/>
    <mergeCell ref="D65:E65"/>
    <mergeCell ref="B102:F102"/>
    <mergeCell ref="D103:E103"/>
    <mergeCell ref="D104:E104"/>
    <mergeCell ref="D75:E75"/>
    <mergeCell ref="D67:E67"/>
    <mergeCell ref="D94:E94"/>
    <mergeCell ref="D82:E82"/>
    <mergeCell ref="D98:E98"/>
    <mergeCell ref="D97:E97"/>
    <mergeCell ref="D68:E68"/>
    <mergeCell ref="D69:E69"/>
    <mergeCell ref="D106:E106"/>
    <mergeCell ref="D78:E78"/>
    <mergeCell ref="D79:E79"/>
    <mergeCell ref="D99:E99"/>
    <mergeCell ref="D105:E105"/>
    <mergeCell ref="D95:E95"/>
    <mergeCell ref="D86:E86"/>
    <mergeCell ref="D93:E93"/>
    <mergeCell ref="G59:H59"/>
    <mergeCell ref="G102:H102"/>
    <mergeCell ref="G25:H25"/>
    <mergeCell ref="B28:F28"/>
    <mergeCell ref="G28:H28"/>
    <mergeCell ref="B52:F52"/>
    <mergeCell ref="D36:E36"/>
    <mergeCell ref="D51:E51"/>
    <mergeCell ref="D32:E32"/>
    <mergeCell ref="D56:E56"/>
    <mergeCell ref="D96:E96"/>
    <mergeCell ref="B73:F73"/>
    <mergeCell ref="G73:H73"/>
    <mergeCell ref="D44:E44"/>
    <mergeCell ref="D74:E74"/>
    <mergeCell ref="D29:E29"/>
    <mergeCell ref="D54:E54"/>
    <mergeCell ref="D87:E87"/>
    <mergeCell ref="D92:E92"/>
    <mergeCell ref="A13:A18"/>
    <mergeCell ref="D33:E33"/>
    <mergeCell ref="D48:E48"/>
    <mergeCell ref="D50:E50"/>
    <mergeCell ref="D34:E34"/>
    <mergeCell ref="D42:E42"/>
    <mergeCell ref="D45:E45"/>
    <mergeCell ref="D37:E37"/>
    <mergeCell ref="D31:E31"/>
    <mergeCell ref="S71:T71"/>
    <mergeCell ref="D76:E76"/>
    <mergeCell ref="D77:E77"/>
    <mergeCell ref="D38:E38"/>
    <mergeCell ref="D40:E40"/>
    <mergeCell ref="D39:E39"/>
    <mergeCell ref="D63:E63"/>
    <mergeCell ref="D70:E70"/>
    <mergeCell ref="D61:E61"/>
    <mergeCell ref="D62:E62"/>
    <mergeCell ref="O70:R70"/>
    <mergeCell ref="D57:E57"/>
    <mergeCell ref="G52:H52"/>
  </mergeCells>
  <conditionalFormatting sqref="B104">
    <cfRule type="cellIs" dxfId="0" priority="1" stopIfTrue="1" operator="equal">
      <formula>0</formula>
    </cfRule>
  </conditionalFormatting>
  <hyperlinks>
    <hyperlink ref="D26:E26" r:id="rId1" display="http://www.johnnyseeds.com/tools-supplies/greenhouse-and-tunnel-supplies/benders/quick-hoops-gothic-high-tunnel-bender-7300.html" xr:uid="{00000000-0004-0000-0000-000000000000}"/>
    <hyperlink ref="D72:E72" r:id="rId2" display="http://www.johnnyseeds.com/tools-supplies/supports-and-anchors/snap-clamps-for-1%22-pvc-or-chain-link-fence-top-rail-7035.0.html" xr:uid="{00000000-0004-0000-0000-000001000000}"/>
    <hyperlink ref="D54:E54" r:id="rId3" display="http://www.johnnyseeds.com/tools-supplies/greenhouse-and-tunnel-supplies/hardware/poly-latch-wire-7040.html" xr:uid="{00000000-0004-0000-0000-000002000000}"/>
    <hyperlink ref="D55:E55" r:id="rId4" display="http://www.johnnyseeds.com/tools-supplies/greenhouse-and-tunnel-supplies/hardware/poly-latch-channel-7041.0.html" xr:uid="{00000000-0004-0000-0000-000003000000}"/>
    <hyperlink ref="D66:E66" r:id="rId5" display="http://www.homedepot.com/p/t/100322532?catalogId=10053&amp;langId=-1&amp;keyword=top+rail&amp;storeId=10051&amp;N=5yc1v&amp;R=100322532" xr:uid="{00000000-0004-0000-0000-000004000000}"/>
    <hyperlink ref="D37:E37" r:id="rId6" display="http://www.boltdepot.com/Product-Details.aspx?product=2405" xr:uid="{00000000-0004-0000-0000-000005000000}"/>
    <hyperlink ref="D48:E48" r:id="rId7" display="http://www.boltdepot.com/Product-Details.aspx?product=12529" xr:uid="{00000000-0004-0000-0000-000006000000}"/>
    <hyperlink ref="D27:E27" r:id="rId8" display="http://www.johnnyseeds.com/p-8463-ground-post-driver.aspx" xr:uid="{00000000-0004-0000-0000-000009000000}"/>
    <hyperlink ref="D53:E53" r:id="rId9" display="http://www.johnnyseeds.com/tools-supplies/greenhouse-and-tunnel-supplies/greenhouse-film/?src=home_slotd3_20171001" xr:uid="{00000000-0004-0000-0000-00000A000000}"/>
    <hyperlink ref="D29:E29" r:id="rId10" display="http://www.homedepot.com/p/YARDGARD-1-3-8-in-x-10-ft-6-in-17-Gauge-Galvanized-Steel-Top-Rail-328913DPT/100322532?keyword=181697" xr:uid="{00000000-0004-0000-0000-00000B000000}"/>
    <hyperlink ref="D31:E31" r:id="rId11" display="http://www.homedepot.com/p/YARDGARD-1-3-8-in-x-10-ft-6-in-17-Gauge-Galvanized-Steel-Top-Rail-328913DPT/100322532?keyword=181697" xr:uid="{00000000-0004-0000-0000-00000C000000}"/>
    <hyperlink ref="D33:E33" r:id="rId12" display="http://www.homedepot.com/p/YARDGARD-1-5-8-in-x-8-ft-16-Gauge-Galvanized-Steel-Line-Post-328923DPT/100322474?keyword=623105" xr:uid="{00000000-0004-0000-0000-00000D000000}"/>
    <hyperlink ref="D104:E104" r:id="rId13" display="http://www.homedepot.com/p/Halex-3-4-in-Electric-Metallic-Tube-EMT-Compression-Coupling-5-Pack-20222/100178967" xr:uid="{00000000-0004-0000-0000-00000E000000}"/>
    <hyperlink ref="D105:E105" r:id="rId14" display="http://www.johnnyseeds.com/p-8878-sidewall-hand-crank.aspx" xr:uid="{00000000-0004-0000-0000-00000F000000}"/>
    <hyperlink ref="D106:E106" r:id="rId15" display="http://www.johnnyseeds.com/p-8293-snap-clamps-for-emt-or-pvc.aspx" xr:uid="{00000000-0004-0000-0000-000010000000}"/>
    <hyperlink ref="D107:E107" r:id="rId16" display="http://www.parachute-cord.com/1000cord.htm" xr:uid="{00000000-0004-0000-0000-000011000000}"/>
    <hyperlink ref="D108:E108" r:id="rId17" display="https://www.homedepot.com/p/Everbilt-4-Zinc-Plated-Steel-Screw-Eye-25-Pack-803662/204273859" xr:uid="{00000000-0004-0000-0000-000012000000}"/>
    <hyperlink ref="D67:E67" r:id="rId18" display="http://chainlinkfittings.com/store/1-3-8-brace-bands-chain-link-fence.html" xr:uid="{00000000-0004-0000-0000-000013000000}"/>
    <hyperlink ref="D68:E68" r:id="rId19" display="http://www.boltdepot.com/Product-Details.aspx?product=2753" xr:uid="{00000000-0004-0000-0000-000014000000}"/>
    <hyperlink ref="D69:E69" r:id="rId20" display="http://www.boltdepot.com/Product-Details.aspx?product=2648" xr:uid="{00000000-0004-0000-0000-000015000000}"/>
    <hyperlink ref="D61:E61" r:id="rId21" display="http://www.boltdepot.com/Product-Details.aspx?product=859" xr:uid="{00000000-0004-0000-0000-000016000000}"/>
    <hyperlink ref="D62:E62" r:id="rId22" display="http://www.boltdepot.com/Product-Details.aspx?product=2662" xr:uid="{00000000-0004-0000-0000-000017000000}"/>
    <hyperlink ref="D64:E64" r:id="rId23" display="http://www.boltdepot.com/Product-Details.aspx?product=2691" xr:uid="{00000000-0004-0000-0000-000018000000}"/>
    <hyperlink ref="D30:E30" r:id="rId24" display="http://www.homedepot.com/p/YARDGARD-1-3-8-in-x-10-ft-6-in-17-Gauge-Galvanized-Steel-Top-Rail-328913DPT/100322532?keyword=181697" xr:uid="{00000000-0004-0000-0000-000019000000}"/>
    <hyperlink ref="D60:E60" r:id="rId25" display="http://www.homedepot.com/p/Unbranded-2-in-x-6-in-x-16-ft-2-Better-Kiln-Dried-Heat-Treated-Spruce-Pine-Fir-Lumber-161799/202086799" xr:uid="{00000000-0004-0000-0000-00001A000000}"/>
    <hyperlink ref="D65:E65" r:id="rId26" display="https://www.boltdepot.com/Product-Details.aspx?Units=US&amp;Category=Washers&amp;Subcategory=SAE_flat_washers&amp;Material=Steel&amp;Plating=Zinc&amp;Grade=&amp;Finish=&amp;Extra_thick=&amp;Size=3%2f8%22&amp;nv=rel" xr:uid="{00000000-0004-0000-0000-00001B000000}"/>
    <hyperlink ref="D71:E71" r:id="rId27" display="http://www.homedepot.com/p/Unbranded-3-8-in-16-tpi-x-6-in-Zinc-Plated-Carriage-Bolt-800316/204633673" xr:uid="{00000000-0004-0000-0000-00001C000000}"/>
    <hyperlink ref="D56:E56" r:id="rId28" display="https://www.boltdepot.com/Product-Details.aspx?product=2525" xr:uid="{00000000-0004-0000-0000-00001D000000}"/>
    <hyperlink ref="D36:E36" r:id="rId29" display="http://www.boltdepot.com/Product-Details.aspx?product=2649" xr:uid="{00000000-0004-0000-0000-00001E000000}"/>
    <hyperlink ref="D35:E35" r:id="rId30" display="https://www.boltdepot.com/Product-Details.aspx?product=23" xr:uid="{00000000-0004-0000-0000-00001F000000}"/>
    <hyperlink ref="D44:E44" r:id="rId31" display="http://www.boltdepot.com/Product-Details.aspx?product=2977" xr:uid="{00000000-0004-0000-0000-000020000000}"/>
    <hyperlink ref="D45:E45" r:id="rId32" display="http://www.boltdepot.com/Product-Details.aspx?product=2649" xr:uid="{00000000-0004-0000-0000-000021000000}"/>
    <hyperlink ref="D43:E43" r:id="rId33" display="https://www.boltdepot.com/Product-Details.aspx?product=2777" xr:uid="{00000000-0004-0000-0000-000022000000}"/>
    <hyperlink ref="D42:E42" r:id="rId34" display="https://www.homedepot.com/p/WeatherShield-5-4-in-x-6-in-x-16-ft-Ground-Contact-Pressure-Treated-Premium-Pine-Decking-Board-253944/206966950?keyword=1-1%2F4+in.+x+6+in.+x+16+ft.+Pressure-Treated+Decking+Board" xr:uid="{00000000-0004-0000-0000-000023000000}"/>
    <hyperlink ref="D50:E50" r:id="rId35" display="http://www.boltdepot.com/Product-Details.aspx?product=2977" xr:uid="{00000000-0004-0000-0000-000024000000}"/>
    <hyperlink ref="D51:E51" r:id="rId36" display="http://www.boltdepot.com/Product-Details.aspx?product=2649" xr:uid="{00000000-0004-0000-0000-000025000000}"/>
    <hyperlink ref="D49:E49" r:id="rId37" display="https://www.boltdepot.com/Product-Details.aspx?product=2777" xr:uid="{00000000-0004-0000-0000-000026000000}"/>
    <hyperlink ref="D75:E75" r:id="rId38" display="https://www.boltdepot.com/Product-Details.aspx?product=2779" xr:uid="{00000000-0004-0000-0000-000027000000}"/>
    <hyperlink ref="D78:E78" r:id="rId39" display="http://www.boltdepot.com/Product-Details.aspx?product=2649" xr:uid="{00000000-0004-0000-0000-000028000000}"/>
    <hyperlink ref="D79:E79" r:id="rId40" display="http://www.boltdepot.com/Product-Details.aspx?product=2977" xr:uid="{00000000-0004-0000-0000-000029000000}"/>
    <hyperlink ref="D80:E80" r:id="rId41" display="https://www.homedepot.com/p/2-in-x-4-in-x-10-ft-Standard-and-Better-Kiln-Dried-Heat-Treated-Spruce-Pine-Fir-Lumber-161659/100080482" xr:uid="{00000000-0004-0000-0000-00002A000000}"/>
    <hyperlink ref="D81:E81" r:id="rId42" display="https://www.homedepot.com/p/2-in-x-4-in-x-96-in-Premium-Kiln-Dried-Whitewood-Stud-161640/202091220" xr:uid="{00000000-0004-0000-0000-00002B000000}"/>
    <hyperlink ref="D83:E83" r:id="rId43" display="https://www.homedepot.com/p/Grip-Rite-6-x-1-1-4-in-Philips-Bugle-Head-Coarse-Thread-Sharp-Point-Drywall-Screws-1-lb-Pack-114CDWS1/100152392" xr:uid="{00000000-0004-0000-0000-00002C000000}"/>
    <hyperlink ref="D76:E76" r:id="rId44" display="https://www.boltdepot.com/Product-Details.aspx?product=2780" xr:uid="{00000000-0004-0000-0000-00002D000000}"/>
    <hyperlink ref="D77:E77" r:id="rId45" display="https://www.boltdepot.com/Product-Details.aspx?product=2784" xr:uid="{00000000-0004-0000-0000-00002E000000}"/>
    <hyperlink ref="D88:E88" r:id="rId46" display="http://www.homedepot.com/p/YARDGARD-1-5-8-in-x-6-ft-16-gauge-Galvanized-Steel-Line-Post-328921DPT/100322481?N=5yc1vZc3na" xr:uid="{00000000-0004-0000-0000-00002F000000}"/>
    <hyperlink ref="D84:E84" r:id="rId47" display="http://www.homedepot.com/p/Simpson-Strong-Tie-20-Gauge-1-1-4-in-x-9-in-Strap-Tie-LSTA9/202255804?keyword=lsta9" xr:uid="{00000000-0004-0000-0000-000030000000}"/>
    <hyperlink ref="D85:E85" r:id="rId48" display="http://www.homedepot.com/p/Grip-Rite-8-x-3-in-Phillips-Bugle-Head-Coarse-Thread-Sharp-Point-Polymer-Coated-Exterior-Screws-1-lb-Pack-PTN3S1/100115639?N=5yc1vZc2bl" xr:uid="{00000000-0004-0000-0000-000031000000}"/>
    <hyperlink ref="D87:E87" r:id="rId49" display="http://www.homedepot.com/p/Simpson-Strong-Tie-GA2-18-Gauge-3-1-4-in-Gusset-Angle-GA2/100375243?N=5yc1vZaqzs" xr:uid="{00000000-0004-0000-0000-000032000000}"/>
    <hyperlink ref="D89:E89" r:id="rId50" display="http://www.homedepot.com/p/Simpson-Strong-Tie-Z-MAX-2-in-x-4-in-20-Gauge-Galvanized-Fence-Bracket-FB24Z/100375311?keyword=fb24z" xr:uid="{00000000-0004-0000-0000-000033000000}"/>
    <hyperlink ref="D90:E90" r:id="rId51" display="http://www.homedepot.com/p/Simpson-Strong-Tie-6-in-x-6-in-14-Gauge-L-Strap-66L/100374887" xr:uid="{00000000-0004-0000-0000-000034000000}"/>
    <hyperlink ref="D91:E91" r:id="rId52" display="http://www.homedepot.com/p/Unbranded-4-in-Satin-Nickel-5-8-in-Radius-Door-Hinge-15002/202558089" xr:uid="{00000000-0004-0000-0000-000035000000}"/>
    <hyperlink ref="D92:E92" r:id="rId53" display="http://www.johnnyseeds.com/p-5458-coiled-9-support-wire-60-11-hoops.aspx" xr:uid="{00000000-0004-0000-0000-000036000000}"/>
    <hyperlink ref="D93:E93" r:id="rId54" display="https://www.homedepot.com/p/Everbilt-3-32-in-x-1-8-in-Zinc-Plated-Clamp-Set-4-Pack-43064/205887661" xr:uid="{00000000-0004-0000-0000-000037000000}"/>
    <hyperlink ref="D94:E94" r:id="rId55" display="http://www.homedepot.com/p/Everbilt-1-4-in-x-7-3-4-in-Zinc-Plated-Turnbuckle-Hook-Eye-807086/204276134" xr:uid="{00000000-0004-0000-0000-000038000000}"/>
    <hyperlink ref="D86:E86" r:id="rId56" display="https://www.homedepot.com/p/GRK-Fasteners-5-16-in-x-6-in-Star-Drive-Washer-Head-RSS-Structural-Screws-1-Bit-10-Screws-Card-772691132352/301878333" xr:uid="{00000000-0004-0000-0000-000039000000}"/>
    <hyperlink ref="D82:E82" r:id="rId57" display="https://www.homedepot.com/p/1-in-x-4-in-x-8-ft-Premium-Kiln-Dried-Square-Edge-Whitewood-Common-Board-914681/100023465" xr:uid="{00000000-0004-0000-0000-00003A000000}"/>
    <hyperlink ref="D95:E95" r:id="rId58" display="http://www.homedepot.com/p/Crown-Bolt-6-in-Zinc-Plated-Heavy-Duty-Barrel-Bolt-15149/202033963" xr:uid="{00000000-0004-0000-0000-00003B000000}"/>
    <hyperlink ref="D96:E96" r:id="rId59" display="http://www.homedepot.com/p/Simpson-Strong-Tie-6-in-12-Gauge-Heavy-Strap-Tie-HRS6/100374840" xr:uid="{00000000-0004-0000-0000-00003C000000}"/>
    <hyperlink ref="D97:E97" r:id="rId60" display="https://www.homedepot.com/p/Nelson-Wood-Shims-8-in-Homeowner-Pine-Shims-12-Piece-per-Bundle-10011703/301757723" xr:uid="{00000000-0004-0000-0000-00003D000000}"/>
    <hyperlink ref="D98:E98" r:id="rId61" display="https://www.homedepot.com/p/Everbilt-3-8-in-x-36-in-Zinc-Threaded-Rod-802237/204273970" xr:uid="{00000000-0004-0000-0000-00003E000000}"/>
    <hyperlink ref="D38:E38" r:id="rId62" display="BB13" xr:uid="{00000000-0004-0000-0000-00003F000000}"/>
    <hyperlink ref="D40:E40" r:id="rId63" display="CB51614" xr:uid="{00000000-0004-0000-0000-000040000000}"/>
    <hyperlink ref="D39:E39" r:id="rId64" display="BB15" xr:uid="{00000000-0004-0000-0000-000041000000}"/>
    <hyperlink ref="D32:E32" r:id="rId65" display="http://www.homedepot.com/p/YARDGARD-1-3-8-in-x-10-ft-6-in-17-Gauge-Galvanized-Steel-Top-Rail-328913DPT/100322532?keyword=181697" xr:uid="{00000000-0004-0000-0000-000042000000}"/>
    <hyperlink ref="D99:E99" r:id="rId66" display="https://www.boltdepot.com/Product-Details.aspx?product=7242" xr:uid="{00000000-0004-0000-0000-000043000000}"/>
    <hyperlink ref="D100:E100" r:id="rId67" display="https://www.boltdepot.com/Product-Details.aspx?product=2978" xr:uid="{00000000-0004-0000-0000-000044000000}"/>
    <hyperlink ref="D63:E63" r:id="rId68" display="https://www.boltdepot.com/Product-Details.aspx?product=3026" xr:uid="{00000000-0004-0000-0000-000045000000}"/>
    <hyperlink ref="D70:E70" r:id="rId69" display="https://www.boltdepot.com/Product-Details.aspx?product=2977" xr:uid="{00000000-0004-0000-0000-000046000000}"/>
    <hyperlink ref="D103:E103" r:id="rId70" display="http://www.homedepot.com/p/Allied-Tube-Conduit-3-4-in-x-10-ft-Electric-Metallic-Tube-Conduit-101550/100400406" xr:uid="{00000000-0004-0000-0000-000047000000}"/>
    <hyperlink ref="D34:E34" r:id="rId71" display="http://www.homedepot.com/p/Allied-Tube-Conduit-3-4-in-x-10-ft-Electric-Metallic-Tube-Conduit-101550/100400406" xr:uid="{00000000-0004-0000-0000-000048000000}"/>
    <hyperlink ref="D57:E57" r:id="rId72" display="http://www.johnnyseeds.com/p-5996-pro-5-weed-barrier-landscape-fabric-4-x-250.aspx" xr:uid="{00000000-0004-0000-0000-000049000000}"/>
    <hyperlink ref="D58:E58" r:id="rId73" display="http://www.johnnyseeds.com/p-5995-anchoring-pins-fabric-staples-box-of-500.aspx" xr:uid="{00000000-0004-0000-0000-00004A000000}"/>
    <hyperlink ref="D47:E47" r:id="rId74" display="https://www.homedepot.com/p/WeatherShield-5-4-in-x-6-in-x-16-ft-Ground-Contact-Pressure-Treated-Premium-Pine-Decking-Board-253944/206966950?keyword=1-1%2F4+in.+x+6+in.+x+16+ft.+Pressure-Treated+Decking+Board" xr:uid="{00000000-0004-0000-0000-00004B000000}"/>
    <hyperlink ref="D74:E74" r:id="rId75" display="https://www.homedepot.com/p/WeatherShield-5-4-in-x-6-in-x-16-ft-Ground-Contact-Pressure-Treated-Premium-Pine-Decking-Board-253944/206966950?keyword=1-1%2F4+in.+x+6+in.+x+16+ft.+Pressure-Treated+Decking+Board" xr:uid="{00000000-0004-0000-0000-00004C000000}"/>
  </hyperlinks>
  <printOptions horizontalCentered="1"/>
  <pageMargins left="0.45" right="0.45" top="0.55000000000000004" bottom="0.4" header="0.3" footer="0.3"/>
  <pageSetup paperSize="5" scale="56" orientation="portrait" r:id="rId76"/>
  <headerFooter>
    <oddFooter>&amp;L&amp;D&amp;CCopyright © 2014 Johnny’s Selected Seeds. All rights reserved.&amp;RPage &amp;P of &amp;N</oddFooter>
  </headerFooter>
  <rowBreaks count="1" manualBreakCount="1">
    <brk id="58" min="1" max="8" man="1"/>
  </rowBreaks>
  <drawing r:id="rId77"/>
  <legacyDrawing r:id="rId7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2882BD-4828-496B-A1A1-7EAB8C356C11}">
  <ds:schemaRefs>
    <ds:schemaRef ds:uri="http://schemas.microsoft.com/sharepoint/v3/contenttype/forms"/>
  </ds:schemaRefs>
</ds:datastoreItem>
</file>

<file path=customXml/itemProps2.xml><?xml version="1.0" encoding="utf-8"?>
<ds:datastoreItem xmlns:ds="http://schemas.openxmlformats.org/officeDocument/2006/customXml" ds:itemID="{53597D6B-CD1A-491E-AA04-CE52484E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8FC3FFA-B84B-4F22-988C-2D19F8B5D3C0}">
  <ds:schemaRef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Itemized Listing</vt:lpstr>
      <vt:lpstr>'Itemized Listing'!Print_Area</vt:lpstr>
      <vt:lpstr>'Itemized Listing'!Print_Titles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2017-12-27T19:41:03Z</dcterms:modified>
</cp:coreProperties>
</file>